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625" windowHeight="6285" firstSheet="3" activeTab="3"/>
  </bookViews>
  <sheets>
    <sheet name="bao cao KQKD - phan 3" sheetId="1" state="hidden" r:id="rId1"/>
    <sheet name="bao cao KQKD - phan 2" sheetId="2" state="hidden" r:id="rId2"/>
    <sheet name="Can doi ke toan - ngoai" sheetId="3" state="hidden" r:id="rId3"/>
    <sheet name="but toan dieu chinh" sheetId="4" r:id="rId4"/>
    <sheet name="Can doi ke toan - TRONG" sheetId="5" r:id="rId5"/>
    <sheet name="CDKT-ngoai" sheetId="6" r:id="rId6"/>
    <sheet name="BaocaoKQKD - Phan 1" sheetId="7" r:id="rId7"/>
    <sheet name="LCTT (2)" sheetId="8" r:id="rId8"/>
  </sheets>
  <externalReferences>
    <externalReference r:id="rId11"/>
  </externalReferences>
  <definedNames>
    <definedName name="_xlnm._FilterDatabase" localSheetId="3" hidden="1">'but toan dieu chinh'!$C$7:$D$46</definedName>
    <definedName name="co">'but toan dieu chinh'!$D:$D</definedName>
    <definedName name="no">'but toan dieu chinh'!$C:$C</definedName>
    <definedName name="_xlnm.Print_Titles" localSheetId="3">'but toan dieu chinh'!$7:$7</definedName>
    <definedName name="_xlnm.Print_Titles" localSheetId="4">'Can doi ke toan - TRONG'!$1:$5</definedName>
    <definedName name="tien">'but toan dieu chinh'!$E:$E</definedName>
  </definedNames>
  <calcPr fullCalcOnLoad="1"/>
</workbook>
</file>

<file path=xl/sharedStrings.xml><?xml version="1.0" encoding="utf-8"?>
<sst xmlns="http://schemas.openxmlformats.org/spreadsheetml/2006/main" count="625" uniqueCount="448">
  <si>
    <t>ChØ tiªu</t>
  </si>
  <si>
    <t>01</t>
  </si>
  <si>
    <t>02</t>
  </si>
  <si>
    <t>03</t>
  </si>
  <si>
    <t>04</t>
  </si>
  <si>
    <t>05</t>
  </si>
  <si>
    <t>06</t>
  </si>
  <si>
    <t>TK</t>
  </si>
  <si>
    <t>3. NhËn ký quÜ ký c­îc dµi h¹n</t>
  </si>
  <si>
    <t>III</t>
  </si>
  <si>
    <t>B¸o c¸o tµi chÝnh cho n¨m tµi chÝnh kÕt
 thóc vµo ngµy 31 th¸ng 12 n¨m 2000</t>
  </si>
  <si>
    <t xml:space="preserve"> Cho n¨m tµi chÝnh kÕt thóc ngµy 31/12/2000</t>
  </si>
  <si>
    <t>KÕ to¸n tr­ëng</t>
  </si>
  <si>
    <t>Gi¸m ®èc</t>
  </si>
  <si>
    <t>STT</t>
  </si>
  <si>
    <t>ThuÕ doanh thu</t>
  </si>
  <si>
    <t>ThuÕ gi¸ trÞ gia t¨ng</t>
  </si>
  <si>
    <t>ThuÕ tµi nguyªn</t>
  </si>
  <si>
    <t>ThuÕ m«n bµi</t>
  </si>
  <si>
    <t>ThuÕ thu nhËp doanh nghiÖp</t>
  </si>
  <si>
    <t>ThuÕ ®Êt</t>
  </si>
  <si>
    <t>Tæng céng</t>
  </si>
  <si>
    <t>Cßn ph¶i nép 
t¹i 31/12/2000</t>
  </si>
  <si>
    <t>Sè ®· nép 
trong n¨m 2000</t>
  </si>
  <si>
    <r>
      <t xml:space="preserve">B¸o c¸o kÕt qu¶ ho¹t ®éng s¶n xuÊt kinh doanh </t>
    </r>
    <r>
      <rPr>
        <sz val="14"/>
        <rFont val=".VnTime"/>
        <family val="2"/>
      </rPr>
      <t>(TiÕp theo)</t>
    </r>
  </si>
  <si>
    <t>21</t>
  </si>
  <si>
    <t>22</t>
  </si>
  <si>
    <t>23</t>
  </si>
  <si>
    <t>11</t>
  </si>
  <si>
    <t>12</t>
  </si>
  <si>
    <t>13</t>
  </si>
  <si>
    <t>14</t>
  </si>
  <si>
    <t>15</t>
  </si>
  <si>
    <t>16</t>
  </si>
  <si>
    <t>17</t>
  </si>
  <si>
    <t>20</t>
  </si>
  <si>
    <t>Sè ®Çu n¨m</t>
  </si>
  <si>
    <t>Sè cuèi n¨m</t>
  </si>
  <si>
    <t>1. Tµi s¶n thuª ngoµi</t>
  </si>
  <si>
    <t>2. VËt t­, hµng ho¸ nhËn gi÷ hé, nhËn gia c«ng</t>
  </si>
  <si>
    <t>3. Hµng ho¸ nhËn b¸n hé, nhËn ký göi</t>
  </si>
  <si>
    <t>4. Nî khã ®ßi ®· xö lý</t>
  </si>
  <si>
    <t>5. Ngo¹i tÖ c¸c lo¹i</t>
  </si>
  <si>
    <t>6. H¹n møc kinh phÝ cãn l¹i</t>
  </si>
  <si>
    <t>7. Nguån vèn khÊu hao c¬ b¶n hiÖn cã</t>
  </si>
  <si>
    <t>C¸c chØ tiªu ngoµi b¶ng c©n ®èi kÕ to¸n</t>
  </si>
  <si>
    <t>Cßn ph¶i nép 
t¹i 01/01/2000</t>
  </si>
  <si>
    <t>Thu trªn vèn</t>
  </si>
  <si>
    <t>M· sè</t>
  </si>
  <si>
    <t>N¨m 2000</t>
  </si>
  <si>
    <t>I. ThuÕ GTGT ®­îc khÊu trõ</t>
  </si>
  <si>
    <t>1. Sè thuÕ GTGT cßn ®­îc khÊu trõ, cßn ®­îc hoµn l¹i ®Çu kú</t>
  </si>
  <si>
    <t>PhÇn II</t>
  </si>
  <si>
    <t>t×nh h×nh thùc hiÖn nghÜa vô víi nhµ n­íc</t>
  </si>
  <si>
    <t>PhÇn III</t>
  </si>
  <si>
    <t>ThuÕ GTGT ®­îc khÊu trõ, thuÕ GTGT ®­îc hoµn l¹i, 
thuÕ GTGT ®­îc gi¶m, thuÕ GTGT hµng b¸n néi ®Þa</t>
  </si>
  <si>
    <t>§¬n vÞ tÝnh: VND</t>
  </si>
  <si>
    <t>II. ThuÕ GTGT ®­îc hoµn l¹i</t>
  </si>
  <si>
    <t>10</t>
  </si>
  <si>
    <t xml:space="preserve">     a/ Sè thuÕ GTGT ®· khÊu trõ</t>
  </si>
  <si>
    <t xml:space="preserve">     b/ Sè thuÕ GTGT ®· hoµn l¹i</t>
  </si>
  <si>
    <t xml:space="preserve">     c/ Sè thuÕ GTGT hµng mua tr¶ l¹i, gi¶m gi¸ hµng mua</t>
  </si>
  <si>
    <t xml:space="preserve">     d/ Sè thuÕ GTGT kh«ng ®­îc khÊu trõ</t>
  </si>
  <si>
    <t>4.  Sè thuÕ GTGT cßn ®­îc khÊu trõ, cßn ®­îc hoµn l¹i cuèi 
     kú (17 = 10 + 11 - 12)</t>
  </si>
  <si>
    <t>1. Sè thuÕ GTGT cßn ®­îc hoµn l¹i ®Çu kú</t>
  </si>
  <si>
    <t>1. Sè thuÕ GTGT cßn ®­îc gi¶m ®Çu kú</t>
  </si>
  <si>
    <t>2. Sè thuÕ GTGT ®­îc gi¶m ph¸t sinh</t>
  </si>
  <si>
    <t>3. Sè thuÕ GTGT ®· ®­îc gi¶m</t>
  </si>
  <si>
    <t>4. Sè thuÕ GTGT cßn ®­îc gi¶m cuèi kú (33 = 30 + 31 - 32)</t>
  </si>
  <si>
    <t>2. Sè thuÕ GTGT ®­îc hoµn l¹i ph¸t sinh</t>
  </si>
  <si>
    <t>3. Sè thuÕ GTGT ®· ®­îc hoµn l¹i</t>
  </si>
  <si>
    <t>4. Sè thuÕ GTGT cßn ®­îc hoµn l¹i cuèi kú (23 = 20 + 21 - 22)</t>
  </si>
  <si>
    <t>30</t>
  </si>
  <si>
    <t>31</t>
  </si>
  <si>
    <t>32</t>
  </si>
  <si>
    <t>33</t>
  </si>
  <si>
    <t>2. Sè thuÕ GTGT ®­îc khÊu trõ ph¸t sinh</t>
  </si>
  <si>
    <t>3. Sè thuÕ GTGT ®· khÊu trõ, ®· hoµn l¹i, thuÕ GTGT hµng 
    mua tr¶ l¹i vµ kh«ng ®­îc khÊu trõ</t>
  </si>
  <si>
    <t xml:space="preserve">    Trong ®ã:</t>
  </si>
  <si>
    <t>1. ThuÕ GTGT hµng b¸n néi ®Þa cßn ph¶i nép ®Çu kú</t>
  </si>
  <si>
    <t>2. ThuÕ GTGT ®Çu ra ph¸t sinh</t>
  </si>
  <si>
    <t>3. ThuÕ GTGT ®Çu vµo ®· khÊu trõ</t>
  </si>
  <si>
    <t>4. ThuÕ GTGT hµng b¸n bÞ tr¶ l¹i, bÞ gi¶m gi¸</t>
  </si>
  <si>
    <t>5. ThuÕ GTGT ®­îc gi¶m trõ vµo sè thuÕ ph¶i nép</t>
  </si>
  <si>
    <t>6. ThuÕ GTGT hµng b¸n néi ®Þa ®· nép vµo ng©n s¸ch Nhµ n­íc</t>
  </si>
  <si>
    <t>7. ThuÕ GTGT hµng b¸n néi ®Þa cßn ph¶i nép cuèi kú
    (46 = 40 + 41 - 42 - 43 - 44 - 45)</t>
  </si>
  <si>
    <t>40</t>
  </si>
  <si>
    <t>41</t>
  </si>
  <si>
    <t>42</t>
  </si>
  <si>
    <t>43</t>
  </si>
  <si>
    <t>44</t>
  </si>
  <si>
    <t>45</t>
  </si>
  <si>
    <t>46</t>
  </si>
  <si>
    <t>II. ThuÕ GTGT ®­îc gi¶m</t>
  </si>
  <si>
    <t>III. ThuÕ GTGT hµng b¸n néi ®Þa</t>
  </si>
  <si>
    <t xml:space="preserve">                LËp, ngµy ... th¸ng…. n¨m 2001</t>
  </si>
  <si>
    <t>NguyÔn v¨n luyÕn</t>
  </si>
  <si>
    <t>NguyÔn v¨n phong</t>
  </si>
  <si>
    <t>C«ng ty c«ng tr×nh hµng kh«ng</t>
  </si>
  <si>
    <t>C¸c lo¹i thuÕ kh¸c</t>
  </si>
  <si>
    <t xml:space="preserve">              ChØ tiªu</t>
  </si>
  <si>
    <t>§Þa chØ:  S©n bay - Gia L©m - Hµ Néi
  §T: 04-8271513                    Fax: 04-827926</t>
  </si>
  <si>
    <t xml:space="preserve">§Þa chØ : S©n bay - Gia L©m - Hµ Néi
   §T: 048271513               Fax: 04-8271926 </t>
  </si>
  <si>
    <t>331N</t>
  </si>
  <si>
    <t>Diễn giải</t>
  </si>
  <si>
    <t>TK Nợ</t>
  </si>
  <si>
    <t>TK có</t>
  </si>
  <si>
    <t>Số tiền</t>
  </si>
  <si>
    <t>Bảng CĐKT</t>
  </si>
  <si>
    <t>Nợ</t>
  </si>
  <si>
    <t>Có</t>
  </si>
  <si>
    <t>BCKQKD</t>
  </si>
  <si>
    <t>BẢNG CÂN ĐỐI KẾ TOÁN</t>
  </si>
  <si>
    <t>TÀI SẢN</t>
  </si>
  <si>
    <t>Thuyết minh</t>
  </si>
  <si>
    <t>Điều chỉnh</t>
  </si>
  <si>
    <t>TÀI SẢN NGẮN HẠN</t>
  </si>
  <si>
    <t>Tiền và tương đương tiền</t>
  </si>
  <si>
    <t>1</t>
  </si>
  <si>
    <t>Tiền</t>
  </si>
  <si>
    <t>Các khoản tương đương tiền</t>
  </si>
  <si>
    <t>V.1</t>
  </si>
  <si>
    <t>II</t>
  </si>
  <si>
    <t>Các khoản đầu tư tài chính ngắn hạn</t>
  </si>
  <si>
    <t>Đầu tư ngắn hạn</t>
  </si>
  <si>
    <t>Các khoản phải thu ngắn hạn</t>
  </si>
  <si>
    <t>Phải thu khách hàng</t>
  </si>
  <si>
    <t>Trả trước cho người bán</t>
  </si>
  <si>
    <t>Phải thu nội bộ ngắn hạn</t>
  </si>
  <si>
    <t>Phải thu theo tiến độ KH hợp đồng XD</t>
  </si>
  <si>
    <t>Các khoản phải thu khác</t>
  </si>
  <si>
    <t>Dự phòng phải thu ngắn hạn khó đòi</t>
  </si>
  <si>
    <t>Hàng tồn kho</t>
  </si>
  <si>
    <t>Dự phòng giảm giá hàng tồn kho</t>
  </si>
  <si>
    <t>Tài sản ngắn hạn khác</t>
  </si>
  <si>
    <t>V.</t>
  </si>
  <si>
    <t>2.</t>
  </si>
  <si>
    <t>1.</t>
  </si>
  <si>
    <t>IV.</t>
  </si>
  <si>
    <t>6.</t>
  </si>
  <si>
    <t>A.</t>
  </si>
  <si>
    <t>I.</t>
  </si>
  <si>
    <t>II.</t>
  </si>
  <si>
    <t>III.</t>
  </si>
  <si>
    <t>3.</t>
  </si>
  <si>
    <t>4.</t>
  </si>
  <si>
    <t>5.</t>
  </si>
  <si>
    <t>Chi phí trả trước ngắn hạn</t>
  </si>
  <si>
    <t>Thuế GTGT được khấu trừ</t>
  </si>
  <si>
    <t>B.</t>
  </si>
  <si>
    <t>TÀI SẢN DÀI HẠN</t>
  </si>
  <si>
    <t>Các khoản phải thu dài hạn</t>
  </si>
  <si>
    <t>Khoản phải thu dài hạn của khách hàng</t>
  </si>
  <si>
    <t>Vốn kinh doanh ở đơn vị trực thuộc</t>
  </si>
  <si>
    <t>Phải thu dài hạn khác</t>
  </si>
  <si>
    <t>Tài sản cố định</t>
  </si>
  <si>
    <t>Tài sản cố định hữu hình</t>
  </si>
  <si>
    <t>- Nguyên giá</t>
  </si>
  <si>
    <t>Tài sản cố định thuê tài chính</t>
  </si>
  <si>
    <t>- Giá trị hao mòn luỹ kế</t>
  </si>
  <si>
    <t>Tài sản cố định vô hình</t>
  </si>
  <si>
    <t>Chi phí XDCB dở dang</t>
  </si>
  <si>
    <t>Bất động sản đầu tư</t>
  </si>
  <si>
    <t>Các khoản đầu tư tài chính dài hạn</t>
  </si>
  <si>
    <t>Đầu tư vào công ty con</t>
  </si>
  <si>
    <t>Đầu tư vào công ty liên kết, liên doanh</t>
  </si>
  <si>
    <t>Đầu tư dài hạn khác</t>
  </si>
  <si>
    <t>Dự phòng giảm giá đầu tư dài hạn (*)</t>
  </si>
  <si>
    <t>Tài sản dài hạn khác</t>
  </si>
  <si>
    <t>Chi phí trả trước dài hạn</t>
  </si>
  <si>
    <t>Tài sản thuế thu nhập hoãn lại</t>
  </si>
  <si>
    <t>V.3</t>
  </si>
  <si>
    <t>V.4</t>
  </si>
  <si>
    <t>V.8</t>
  </si>
  <si>
    <t>V.14</t>
  </si>
  <si>
    <t>Dự phòng phải thu dài hạn khó đòi (*)</t>
  </si>
  <si>
    <t>- Giá trị hao mòn lũy kế (*)</t>
  </si>
  <si>
    <t>- Giá trị hao mòn luỹ kế (*)</t>
  </si>
  <si>
    <t>- Giá trị hao mòn luỹ (*)</t>
  </si>
  <si>
    <t>NGUỒN VỐN</t>
  </si>
  <si>
    <t>Mã số</t>
  </si>
  <si>
    <t>NỢ PHẢI TRẢ</t>
  </si>
  <si>
    <t>Nợ ngắn hạn</t>
  </si>
  <si>
    <t>Vay và nợ ngắn hạn</t>
  </si>
  <si>
    <t>Phải trả người bán</t>
  </si>
  <si>
    <t>Người mua trả tiền trước</t>
  </si>
  <si>
    <t>Thuế và khoản phải  nộp Nhà nước</t>
  </si>
  <si>
    <t>Phải trả người lao động</t>
  </si>
  <si>
    <t>Chi phí phải trả</t>
  </si>
  <si>
    <t>7.</t>
  </si>
  <si>
    <t>Phải trả nội bộ</t>
  </si>
  <si>
    <t>8.</t>
  </si>
  <si>
    <t>Phải trả theo tiến độ KH hợp đồng XD</t>
  </si>
  <si>
    <t>9.</t>
  </si>
  <si>
    <t>Các khoản phải trả phải nộp ngắn hạn khác</t>
  </si>
  <si>
    <t>10.</t>
  </si>
  <si>
    <t>Nợ dài hạn</t>
  </si>
  <si>
    <t>Phải trả dài hạn người bán</t>
  </si>
  <si>
    <t>Phải trả dài hạn nội bộ</t>
  </si>
  <si>
    <t>Phải trả dài hạn khác</t>
  </si>
  <si>
    <t>Vay và nợ dài hạn</t>
  </si>
  <si>
    <t>Thuế thu nhập hoãn lại phải trả</t>
  </si>
  <si>
    <t>Dự phòng trợ cấp mất việc làm</t>
  </si>
  <si>
    <t>VỐN CHỦ SỞ HỮU</t>
  </si>
  <si>
    <t>Vốn chủ sở hữu</t>
  </si>
  <si>
    <t>Vốn đầu tư của chủ sở hữu</t>
  </si>
  <si>
    <t>Thặng dư vốn cổ phần</t>
  </si>
  <si>
    <t>Vốn khác của chủ sở hữu</t>
  </si>
  <si>
    <t>Chênh lệch đánh giá lại tài sản</t>
  </si>
  <si>
    <t>Cổ phiếu quỹ (*)</t>
  </si>
  <si>
    <t>Chênh lệch tỷ giá hối đoái</t>
  </si>
  <si>
    <t>Quỹ đầu tư phát triển</t>
  </si>
  <si>
    <t>Quỹ dự phòng tài chính</t>
  </si>
  <si>
    <t>Quỹ khác thuộc vốn chủ sở hữu</t>
  </si>
  <si>
    <t>Lợi nhuận sau thuế chưa phân phối</t>
  </si>
  <si>
    <t>Nguồn vốn đầu tư XDCB</t>
  </si>
  <si>
    <t>Nguồn kinh phí và quỹ khác</t>
  </si>
  <si>
    <t>Quỹ khen thưởng, phúc lợi</t>
  </si>
  <si>
    <t>Nguồn kinh phí</t>
  </si>
  <si>
    <t>Nguồn kinh phí đã hình thành TSCĐ</t>
  </si>
  <si>
    <t xml:space="preserve">Dự phòng phải trả ngắn hạn </t>
  </si>
  <si>
    <t xml:space="preserve">Dự phòng phải trả dài hạn </t>
  </si>
  <si>
    <t>333N</t>
  </si>
  <si>
    <t>139N</t>
  </si>
  <si>
    <t>131C</t>
  </si>
  <si>
    <t>BẢNG CÂN ĐỐI KẾ TOÁN (Tiếp theo)</t>
  </si>
  <si>
    <t>CHỈ TIÊU NGOÀI BẢNG CÂN ĐỐI KẾ TOÁN</t>
  </si>
  <si>
    <t>1. Tài sản thuê ngoài</t>
  </si>
  <si>
    <t>3. Hàng hoá nhận bán hộ, nhận ký gửi, ký cược</t>
  </si>
  <si>
    <t>4. Nợ khó đòi đã xử lý</t>
  </si>
  <si>
    <t>6. Dự toán chi sự nghiệp, dự án</t>
  </si>
  <si>
    <t>V.16</t>
  </si>
  <si>
    <t>V.18</t>
  </si>
  <si>
    <t>KẾ TOÁN TRƯỞNG</t>
  </si>
  <si>
    <t>BÁO CÁO LƯU CHUYỂN TIỀN TỆ</t>
  </si>
  <si>
    <t>KHOẢN MỤC</t>
  </si>
  <si>
    <t>Lưu chuyển tiền thuần từ hoạt động kinh doanh</t>
  </si>
  <si>
    <t>LƯU CHUYỂN TIỀN TỪ HOẠT ĐỘNG ĐẦU TƯ</t>
  </si>
  <si>
    <t>Tiền chi để mua sắm, xây dựng TSCĐ và các TSDH khác</t>
  </si>
  <si>
    <t>Tiền thu từ thanh lý, nhượng bán TSCĐ và các TSDH khác</t>
  </si>
  <si>
    <t>Tiền chi cho vay, mua các công cụ nợ của đơn vị khác</t>
  </si>
  <si>
    <t>Tiền thu hồi cho vay, bán lại công cụ nợ của đơn vị khác</t>
  </si>
  <si>
    <t>Tiền chi đầu tư góp vốn vào đơn vị khác</t>
  </si>
  <si>
    <t>Tiền thu hồi đầu tư góp vốn vào đơn vị khác</t>
  </si>
  <si>
    <t>Tiền thu lãi cho vay, cổ tức và lợi nhuận được chia</t>
  </si>
  <si>
    <t>Lưu chuyển tiền thuần từ hoạt động đầu tư</t>
  </si>
  <si>
    <t>LƯU CHUYỂN TIỀN TỪ HOẠT ĐỘNG TÀI CHÍNH</t>
  </si>
  <si>
    <t>Tiền thu từ phát hành CP, nhận vốn góp của chủ sở hữu</t>
  </si>
  <si>
    <t>Tiền chi trả vốn góp cho các chủ sở hữu, mua lại CP của doanh nghiệp đã phát hành</t>
  </si>
  <si>
    <t>Tiền vay ngắn hạn, dài hạn nhận được</t>
  </si>
  <si>
    <t>Tiền chi trả nợ gốc vay</t>
  </si>
  <si>
    <t>Tiền chi trả nợ thuê tài chính</t>
  </si>
  <si>
    <t>Cổ tức, lợi nhuận đã trả cho chủ sở hữu</t>
  </si>
  <si>
    <t>Lưu chuyển tiền thuần từ hoạt động tài chính</t>
  </si>
  <si>
    <t>LƯU CHUYỂN TIỀN THUẦN TRONG KỲ</t>
  </si>
  <si>
    <t>Tiền và tương đương tiền đầu kỳ</t>
  </si>
  <si>
    <t>Ảnh hưởng của thay đổi tỷ giá hối đoái quy đổi ngoại tệ</t>
  </si>
  <si>
    <t>Tiền và tương đương tiền cuối kỳ</t>
  </si>
  <si>
    <t>Tài khoản 111</t>
  </si>
  <si>
    <t>Tài khoản 112</t>
  </si>
  <si>
    <t>Đơn vị: VND</t>
  </si>
  <si>
    <t>Tài khoản 113</t>
  </si>
  <si>
    <t>Tài khoản 121 (&gt;3 tháng)</t>
  </si>
  <si>
    <t>Tài khoản 128</t>
  </si>
  <si>
    <t>Dự phòng giảm giá đầu tư ngắn hạn</t>
  </si>
  <si>
    <t>Tài khoản 1385 - Phải thu về cổ phần hoá</t>
  </si>
  <si>
    <t>Tài khoản 1388 - Phải thu khác</t>
  </si>
  <si>
    <t>Tài khoản 334 - Phải thu người lao động</t>
  </si>
  <si>
    <t>334N</t>
  </si>
  <si>
    <t>Tài khoản 338 dư Nợ</t>
  </si>
  <si>
    <t>338N</t>
  </si>
  <si>
    <t>Tài khoản 151</t>
  </si>
  <si>
    <t>Tài khoản 152</t>
  </si>
  <si>
    <t>Tài khoản 153</t>
  </si>
  <si>
    <t>Tài khoản 154</t>
  </si>
  <si>
    <t>Tài khoản 155</t>
  </si>
  <si>
    <t>Tài khoản 156</t>
  </si>
  <si>
    <t>Tài khoản 157</t>
  </si>
  <si>
    <t>Tài khoản 158</t>
  </si>
  <si>
    <t>Tài khoản 141</t>
  </si>
  <si>
    <t>Tài khoản 144</t>
  </si>
  <si>
    <t>Tài khoản 1381</t>
  </si>
  <si>
    <t>131L</t>
  </si>
  <si>
    <t>136L</t>
  </si>
  <si>
    <t>138L</t>
  </si>
  <si>
    <t>139L</t>
  </si>
  <si>
    <t>Tài khoản 138</t>
  </si>
  <si>
    <t>338NL</t>
  </si>
  <si>
    <t>Tài khoản 331 dư Nợ</t>
  </si>
  <si>
    <t>331NL</t>
  </si>
  <si>
    <t>Tài khoản 222 - Vốn góp liên doanh</t>
  </si>
  <si>
    <t>Tài khoản 223 - ĐT vào công ty liên kết</t>
  </si>
  <si>
    <t>Tài khoản 311</t>
  </si>
  <si>
    <t>Tài khoản 315</t>
  </si>
  <si>
    <t>Tài khoản 131 dư Có</t>
  </si>
  <si>
    <t>Tài khoản 3387 - Doanh thu chưa thực hiện</t>
  </si>
  <si>
    <t>Tài khoản 138 dư Có</t>
  </si>
  <si>
    <t>Tài khoản 338 (kể cả TK 3381)</t>
  </si>
  <si>
    <t>138C</t>
  </si>
  <si>
    <t>331L</t>
  </si>
  <si>
    <t>336L</t>
  </si>
  <si>
    <t>352L</t>
  </si>
  <si>
    <t>Tài khoản 338</t>
  </si>
  <si>
    <t>Tài khoản 344</t>
  </si>
  <si>
    <t>338L</t>
  </si>
  <si>
    <t>Vay dài hạn</t>
  </si>
  <si>
    <t>Dư Có TK 3431 - Dư Nợ TK 3432 + Dư Có TK 3433</t>
  </si>
  <si>
    <t>TỔNG CỘNG TÀI SẢN</t>
  </si>
  <si>
    <t>TỔNG CỘNG NGUỒN VỐN</t>
  </si>
  <si>
    <t>(Theo phương pháp trực tiếp)</t>
  </si>
  <si>
    <t>Tiền thu từ bán hàng, cung cấp dịch vụ và doanh thu khác</t>
  </si>
  <si>
    <t>Tiền chi trả cho người cung cấp hàng hoá và dịch vụ</t>
  </si>
  <si>
    <t>Tiền chi trả cho người lao động</t>
  </si>
  <si>
    <t>Tiền chi trả lãi vay</t>
  </si>
  <si>
    <t>Tiền chi nộp thuế thu nhập doanh nghiệp</t>
  </si>
  <si>
    <t>Tiền thu khác từ hoạt động kinh doanh</t>
  </si>
  <si>
    <t>Tiền chi khác từ hoạt động kinh doanh</t>
  </si>
  <si>
    <t>LƯU CHUYỂN TIỀN TỪ HOẠT ĐỘNG KINH DOANH</t>
  </si>
  <si>
    <t>07</t>
  </si>
  <si>
    <t>31/12/2006</t>
  </si>
  <si>
    <t>31/12/2005</t>
  </si>
  <si>
    <t>Năm 2006</t>
  </si>
  <si>
    <t>Tại ngày 31 tháng 12 năm 2006</t>
  </si>
  <si>
    <t>TỔNG HỢP BÚT TOÁN ĐIỀU CHỈNH NĂM 2006</t>
  </si>
  <si>
    <t>31/12/2006     trước KT</t>
  </si>
  <si>
    <t>5. Ngoại tệ các loại (USD)</t>
  </si>
  <si>
    <t xml:space="preserve">31/12/2006         </t>
  </si>
  <si>
    <t xml:space="preserve"> 2006             trước KT</t>
  </si>
  <si>
    <t>- Chiết khấu TM</t>
  </si>
  <si>
    <t>- Giảm giá hàng bán</t>
  </si>
  <si>
    <t>- Hàng bán bị trả lại</t>
  </si>
  <si>
    <t>- Thuế VAT, thuế tiêu thụ đặc biệt</t>
  </si>
  <si>
    <t>24</t>
  </si>
  <si>
    <t>25</t>
  </si>
  <si>
    <t>12.</t>
  </si>
  <si>
    <t>13.</t>
  </si>
  <si>
    <t>14.</t>
  </si>
  <si>
    <t>50</t>
  </si>
  <si>
    <t>15.</t>
  </si>
  <si>
    <t>51</t>
  </si>
  <si>
    <t>16.</t>
  </si>
  <si>
    <t>52</t>
  </si>
  <si>
    <t>17.</t>
  </si>
  <si>
    <t>60</t>
  </si>
  <si>
    <t>18.</t>
  </si>
  <si>
    <t>Lãi cơ bản trên cổ phiếu</t>
  </si>
  <si>
    <t>70</t>
  </si>
  <si>
    <t>BÁO CÁO KẾT QUẢ HOẠT ĐỘNG KINH DOANH</t>
  </si>
  <si>
    <t>Đơn vị : VND</t>
  </si>
  <si>
    <t>MÃ SỐ</t>
  </si>
  <si>
    <t>CHỈ TIÊU</t>
  </si>
  <si>
    <t>Các khoản giảm trừ doanh thu</t>
  </si>
  <si>
    <t>Doanh thu thuần về bán hàng và cung câp dịch vụ</t>
  </si>
  <si>
    <t>Giá vốn hàng bán</t>
  </si>
  <si>
    <t>Lợi nhuận gộp về bán hàng và cung cấp dịch vụ</t>
  </si>
  <si>
    <t>Doanh thu hoạt động tài chính</t>
  </si>
  <si>
    <t>Trong đó: Chi phí lãi vay</t>
  </si>
  <si>
    <t>Chi phí bán hàng</t>
  </si>
  <si>
    <t>Chi phí quản lý doanh nghiệp</t>
  </si>
  <si>
    <t>Lợi nhuận thuần từ hoạt động kinh doanh</t>
  </si>
  <si>
    <t>Thu nhập khác</t>
  </si>
  <si>
    <t>Chi phí khác</t>
  </si>
  <si>
    <t>Lợi nhuận khác</t>
  </si>
  <si>
    <t>Tổng lợi nhuận kế toán trước thuế</t>
  </si>
  <si>
    <t>Chi phí thuế TNDN hiện hành</t>
  </si>
  <si>
    <t>Chi phí thuế TNDN hoãn lại</t>
  </si>
  <si>
    <t>Lợi nhuận sau thuế thu nhập doanh nghiệp</t>
  </si>
  <si>
    <t>Doanh thu bán hàng và cung cấp dịch vụ</t>
  </si>
  <si>
    <t xml:space="preserve">      KẾ TOÁN TRƯỞNG</t>
  </si>
  <si>
    <t>Phân loại lại chi phí khấu hao của TSCĐ vô hình và hữu hình</t>
  </si>
  <si>
    <t>Ghi tăng giá trị công cụ dụng cụ nhập lại nhầm kho</t>
  </si>
  <si>
    <t>Tính lại giá trị bán thành phẩm tồn kho cuối kỳ</t>
  </si>
  <si>
    <t>Chuyển công nợ Trung tâm Quang Hanh</t>
  </si>
  <si>
    <t>Chuyển BHXH cho phù hợp với biên bản quyết toán</t>
  </si>
  <si>
    <t>Phân bổ lại chi phí chờ phân bổ ngắn hạn và dài hạn</t>
  </si>
  <si>
    <t>CỘng</t>
  </si>
  <si>
    <t xml:space="preserve">Ghi tăng giá trị XDCB </t>
  </si>
  <si>
    <t>ĐC giảm thuế TNDN phải nộp năm 2004 theo bbqt thuế</t>
  </si>
  <si>
    <t>Năm 2005</t>
  </si>
  <si>
    <t xml:space="preserve">Năm 2006                    </t>
  </si>
  <si>
    <t>TẬP ĐOÀN CN THAN- KHOÁNG SẢN VIỆT NAM</t>
  </si>
  <si>
    <t>Quỹ dự phòng tài chính 10%</t>
  </si>
  <si>
    <t>Bổ sung vốn nhà nước tại đơn vị</t>
  </si>
  <si>
    <t xml:space="preserve">Bút toán tạm phân phối lợi nhuận sau thuế </t>
  </si>
  <si>
    <t>Quỹ khen thưởng</t>
  </si>
  <si>
    <t>Quỹ phúc lợi</t>
  </si>
  <si>
    <t>Lợi nhuận sau thuế 2006</t>
  </si>
  <si>
    <t>đơn vị đã tạm trích lập</t>
  </si>
  <si>
    <t>trong năm</t>
  </si>
  <si>
    <t>Số còn phải trích</t>
  </si>
  <si>
    <t>thêm</t>
  </si>
  <si>
    <t xml:space="preserve">Tổng LN kế toán trước thuế </t>
  </si>
  <si>
    <t>Các khoản làm tăng LN trước thuế</t>
  </si>
  <si>
    <t>Đã chi cho lao động nữ</t>
  </si>
  <si>
    <t>Các khoản làm giảm LN trước thuế</t>
  </si>
  <si>
    <t xml:space="preserve">Các khoản làm tăng (giảm ) LN trước thuế </t>
  </si>
  <si>
    <t>Thuế TNDN phải nộp theo chế độ</t>
  </si>
  <si>
    <t>Giảm thuế TNDN (do chi cho lao động nữ)</t>
  </si>
  <si>
    <t xml:space="preserve">Thuế TNDN còn phải nộp </t>
  </si>
  <si>
    <t xml:space="preserve">Lợi nhuận sau thuế chờ phân phối </t>
  </si>
  <si>
    <t>Có TK 333.4</t>
  </si>
  <si>
    <t>Nợ TK 421</t>
  </si>
  <si>
    <t>Thuế TNDN phải nộp sau điều chỉnh</t>
  </si>
  <si>
    <t>CÔNG TY CỔ PHẦN THAN HÀ TU -TKV</t>
  </si>
  <si>
    <t>Phường Hà Tu, Thành phố Hạ Long, Tỉnh Quảng Ninh</t>
  </si>
  <si>
    <t xml:space="preserve">Bổ sung vốn nhà nước tại đơn vị </t>
  </si>
  <si>
    <t xml:space="preserve">Bút toán phân phối lợi nhuận sau thuế </t>
  </si>
  <si>
    <t xml:space="preserve">Các khoản thuế phải thu </t>
  </si>
  <si>
    <t>Phải thu nội bộ dài hạn</t>
  </si>
  <si>
    <t>Quảng Ninh, ngày 25 tháng 3 năm 2007</t>
  </si>
  <si>
    <t>568742845974</t>
  </si>
  <si>
    <t>Chi phí không hợp lý (*)</t>
  </si>
  <si>
    <t>Chi phí không hợp lý (*):</t>
  </si>
  <si>
    <t>Doanh thu không hợp lý (**)</t>
  </si>
  <si>
    <t>+ Thu tiền phạt do khách hàng vi phạm hợp đồng</t>
  </si>
  <si>
    <t>+ Nộp thuế gtgt dầu ga doan thu của CNV</t>
  </si>
  <si>
    <t xml:space="preserve">+ Tăng thuế suất bán hàng dầu ga doan PL theo bb hoàn thuế </t>
  </si>
  <si>
    <t>+ Tiền phạt do vi phạm hợp đồng kinh tế</t>
  </si>
  <si>
    <t>Công ty than Hà Tu -TKV</t>
  </si>
  <si>
    <t>NTH: Thành</t>
  </si>
  <si>
    <t>Ngày: 17/03/07</t>
  </si>
  <si>
    <t>Mã:</t>
  </si>
  <si>
    <t>Số:</t>
  </si>
  <si>
    <t>Nội dung: Thuế TNDN + PP LNst</t>
  </si>
  <si>
    <t xml:space="preserve">Giảm phí tập trung NCKH phải nộp Tập đoàn do giảm chi phí </t>
  </si>
  <si>
    <t xml:space="preserve">Lê Cẩm Thanh </t>
  </si>
  <si>
    <t xml:space="preserve">     Lê Cẩm Thanh</t>
  </si>
  <si>
    <t>V.2</t>
  </si>
  <si>
    <t>V.5</t>
  </si>
  <si>
    <t>V.6</t>
  </si>
  <si>
    <t>V.9</t>
  </si>
  <si>
    <t>V.11</t>
  </si>
  <si>
    <t>V.12</t>
  </si>
  <si>
    <t>V.15</t>
  </si>
  <si>
    <t>V.17</t>
  </si>
  <si>
    <t>V.21</t>
  </si>
  <si>
    <t>PHÓ GIÁM ĐỐC</t>
  </si>
  <si>
    <t>Nguyễn Thanh Đình</t>
  </si>
  <si>
    <t>V.19</t>
  </si>
  <si>
    <t>V.20</t>
  </si>
  <si>
    <t>V.24.1</t>
  </si>
  <si>
    <t>V.25</t>
  </si>
  <si>
    <t>V.24.2</t>
  </si>
  <si>
    <t>V.26</t>
  </si>
  <si>
    <t xml:space="preserve">Chi phí hoạt động tài chính </t>
  </si>
  <si>
    <t>V.28</t>
  </si>
  <si>
    <t>CÔNG TY THAN HÀ TU</t>
  </si>
  <si>
    <t>2. Vật tư, hàng hoá nhận giữ hộ, nhận gia công (VND)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</si>
</sst>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_);_(* \(#,##0\);_(* &quot;-&quot;??_);_(@_)"/>
    <numFmt numFmtId="173" formatCode="_(* #,##0.0_);_(* \(#,##0.0\);_(* &quot;-&quot;??_);_(@_)"/>
    <numFmt numFmtId="174" formatCode="0;[Red]0"/>
    <numFmt numFmtId="175" formatCode="0.0"/>
    <numFmt numFmtId="176" formatCode="0.0%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_(* #,##0.000_);_(* \(#,##0.000\);_(* &quot;-&quot;??_);_(@_)"/>
    <numFmt numFmtId="182" formatCode="_(* #,##0.0000_);_(* \(#,##0.0000\);_(* &quot;-&quot;??_);_(@_)"/>
    <numFmt numFmtId="183" formatCode="_(* #,##0.00000_);_(* \(#,##0.00000\);_(* &quot;-&quot;??_);_(@_)"/>
    <numFmt numFmtId="184" formatCode="_(* #,##0.000000_);_(* \(#,##0.000000\);_(* &quot;-&quot;??_);_(@_)"/>
    <numFmt numFmtId="185" formatCode="_(* #,##0.0000000_);_(* \(#,##0.0000000\);_(* &quot;-&quot;??_);_(@_)"/>
    <numFmt numFmtId="186" formatCode="_(* #,##0.00000000_);_(* \(#,##0.00000000\);_(* &quot;-&quot;??_);_(@_)"/>
    <numFmt numFmtId="187" formatCode="_(* #,##0.0_);_(* \(#,##0.0\);_(* &quot;-&quot;_);_(@_)"/>
    <numFmt numFmtId="188" formatCode="_(* #,##0.00_);_(* \(#,##0.00\);_(* &quot;-&quot;_);_(@_)"/>
    <numFmt numFmtId="189" formatCode="_(* #,##0.000_);_(* \(#,##0.000\);_(* &quot;-&quot;_);_(@_)"/>
    <numFmt numFmtId="190" formatCode="_(* #,##0.0000_);_(* \(#,##0.0000\);_(* &quot;-&quot;_);_(@_)"/>
  </numFmts>
  <fonts count="32">
    <font>
      <sz val="12"/>
      <name val=".VnTime"/>
      <family val="0"/>
    </font>
    <font>
      <b/>
      <sz val="11"/>
      <name val=".VnTimeH"/>
      <family val="2"/>
    </font>
    <font>
      <sz val="11"/>
      <name val=".VnTime"/>
      <family val="2"/>
    </font>
    <font>
      <b/>
      <sz val="11"/>
      <name val=".VnTime"/>
      <family val="2"/>
    </font>
    <font>
      <b/>
      <sz val="12"/>
      <name val=".VnTime"/>
      <family val="2"/>
    </font>
    <font>
      <sz val="10"/>
      <name val=".VnTime"/>
      <family val="2"/>
    </font>
    <font>
      <b/>
      <sz val="14"/>
      <name val=".VnTimeH"/>
      <family val="2"/>
    </font>
    <font>
      <sz val="14"/>
      <name val=".VnTime"/>
      <family val="2"/>
    </font>
    <font>
      <b/>
      <sz val="12"/>
      <name val=".VnTimeH"/>
      <family val="2"/>
    </font>
    <font>
      <b/>
      <sz val="16"/>
      <name val=".VnTimeH"/>
      <family val="2"/>
    </font>
    <font>
      <b/>
      <sz val="13"/>
      <color indexed="10"/>
      <name val=".VnTimeH"/>
      <family val="2"/>
    </font>
    <font>
      <b/>
      <sz val="11"/>
      <color indexed="10"/>
      <name val=".VnTimeH"/>
      <family val="2"/>
    </font>
    <font>
      <i/>
      <sz val="12"/>
      <name val=".VnTime"/>
      <family val="2"/>
    </font>
    <font>
      <sz val="8"/>
      <name val=".VnTime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b/>
      <sz val="12"/>
      <name val="Times New Roman"/>
      <family val="1"/>
    </font>
    <font>
      <sz val="11"/>
      <color indexed="9"/>
      <name val="Times New Roman"/>
      <family val="1"/>
    </font>
    <font>
      <sz val="10"/>
      <name val=".Vn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Tahoma"/>
      <family val="2"/>
    </font>
    <font>
      <u val="single"/>
      <sz val="12"/>
      <color indexed="12"/>
      <name val=".VnTime"/>
      <family val="0"/>
    </font>
    <font>
      <u val="single"/>
      <sz val="12"/>
      <color indexed="36"/>
      <name val=".VnTime"/>
      <family val="0"/>
    </font>
    <font>
      <b/>
      <i/>
      <sz val="10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sz val="11"/>
      <color indexed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44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thin"/>
      <top style="thin"/>
      <bottom style="double"/>
    </border>
    <border>
      <left style="double"/>
      <right style="thin"/>
      <top style="double"/>
      <bottom style="thin"/>
    </border>
    <border>
      <left style="thin"/>
      <right style="thin"/>
      <top style="hair"/>
      <bottom>
        <color indexed="63"/>
      </bottom>
    </border>
    <border>
      <left style="double"/>
      <right style="thin"/>
      <top style="thin"/>
      <bottom style="double"/>
    </border>
    <border>
      <left>
        <color indexed="63"/>
      </left>
      <right>
        <color indexed="63"/>
      </right>
      <top style="double"/>
      <bottom style="thin"/>
    </border>
    <border>
      <left style="thin"/>
      <right style="double"/>
      <top style="thin"/>
      <bottom style="double"/>
    </border>
    <border>
      <left style="thin"/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 style="double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75">
    <xf numFmtId="0" fontId="0" fillId="0" borderId="0" xfId="0" applyAlignment="1">
      <alignment/>
    </xf>
    <xf numFmtId="172" fontId="2" fillId="0" borderId="0" xfId="15" applyNumberFormat="1" applyFont="1" applyAlignment="1">
      <alignment/>
    </xf>
    <xf numFmtId="172" fontId="2" fillId="0" borderId="0" xfId="15" applyNumberFormat="1" applyFont="1" applyAlignment="1">
      <alignment horizontal="center"/>
    </xf>
    <xf numFmtId="172" fontId="2" fillId="0" borderId="0" xfId="15" applyNumberFormat="1" applyFont="1" applyAlignment="1">
      <alignment wrapText="1"/>
    </xf>
    <xf numFmtId="0" fontId="0" fillId="0" borderId="0" xfId="0" applyAlignment="1">
      <alignment horizontal="center"/>
    </xf>
    <xf numFmtId="172" fontId="0" fillId="0" borderId="0" xfId="15" applyNumberFormat="1" applyFont="1" applyBorder="1" applyAlignment="1">
      <alignment/>
    </xf>
    <xf numFmtId="172" fontId="5" fillId="0" borderId="0" xfId="15" applyNumberFormat="1" applyFont="1" applyBorder="1" applyAlignment="1">
      <alignment wrapText="1"/>
    </xf>
    <xf numFmtId="174" fontId="5" fillId="0" borderId="0" xfId="15" applyNumberFormat="1" applyFont="1" applyBorder="1" applyAlignment="1">
      <alignment/>
    </xf>
    <xf numFmtId="172" fontId="0" fillId="0" borderId="0" xfId="15" applyNumberFormat="1" applyFont="1" applyBorder="1" applyAlignment="1">
      <alignment wrapText="1"/>
    </xf>
    <xf numFmtId="174" fontId="0" fillId="0" borderId="0" xfId="15" applyNumberFormat="1" applyFont="1" applyBorder="1" applyAlignment="1">
      <alignment/>
    </xf>
    <xf numFmtId="172" fontId="8" fillId="0" borderId="0" xfId="15" applyNumberFormat="1" applyFont="1" applyBorder="1" applyAlignment="1">
      <alignment wrapText="1"/>
    </xf>
    <xf numFmtId="38" fontId="5" fillId="0" borderId="0" xfId="15" applyNumberFormat="1" applyFont="1" applyBorder="1" applyAlignment="1">
      <alignment/>
    </xf>
    <xf numFmtId="38" fontId="0" fillId="0" borderId="0" xfId="15" applyNumberFormat="1" applyFont="1" applyBorder="1" applyAlignment="1">
      <alignment/>
    </xf>
    <xf numFmtId="172" fontId="6" fillId="0" borderId="0" xfId="15" applyNumberFormat="1" applyFont="1" applyAlignment="1">
      <alignment/>
    </xf>
    <xf numFmtId="172" fontId="1" fillId="0" borderId="0" xfId="15" applyNumberFormat="1" applyFont="1" applyBorder="1" applyAlignment="1">
      <alignment wrapText="1"/>
    </xf>
    <xf numFmtId="174" fontId="1" fillId="0" borderId="0" xfId="15" applyNumberFormat="1" applyFont="1" applyBorder="1" applyAlignment="1">
      <alignment/>
    </xf>
    <xf numFmtId="38" fontId="1" fillId="0" borderId="0" xfId="15" applyNumberFormat="1" applyFont="1" applyBorder="1" applyAlignment="1">
      <alignment/>
    </xf>
    <xf numFmtId="172" fontId="0" fillId="0" borderId="0" xfId="15" applyNumberFormat="1" applyFont="1" applyAlignment="1">
      <alignment/>
    </xf>
    <xf numFmtId="38" fontId="0" fillId="0" borderId="0" xfId="0" applyNumberFormat="1" applyAlignment="1">
      <alignment/>
    </xf>
    <xf numFmtId="0" fontId="0" fillId="0" borderId="0" xfId="0" applyAlignment="1">
      <alignment vertical="center"/>
    </xf>
    <xf numFmtId="0" fontId="0" fillId="0" borderId="1" xfId="0" applyBorder="1" applyAlignment="1">
      <alignment/>
    </xf>
    <xf numFmtId="38" fontId="0" fillId="0" borderId="1" xfId="0" applyNumberFormat="1" applyBorder="1" applyAlignment="1">
      <alignment/>
    </xf>
    <xf numFmtId="38" fontId="0" fillId="0" borderId="2" xfId="0" applyNumberFormat="1" applyBorder="1" applyAlignment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/>
    </xf>
    <xf numFmtId="38" fontId="0" fillId="0" borderId="4" xfId="0" applyNumberFormat="1" applyBorder="1" applyAlignment="1">
      <alignment/>
    </xf>
    <xf numFmtId="38" fontId="0" fillId="0" borderId="5" xfId="0" applyNumberFormat="1" applyBorder="1" applyAlignment="1">
      <alignment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vertical="center"/>
    </xf>
    <xf numFmtId="38" fontId="4" fillId="0" borderId="7" xfId="0" applyNumberFormat="1" applyFont="1" applyBorder="1" applyAlignment="1">
      <alignment vertical="center"/>
    </xf>
    <xf numFmtId="38" fontId="4" fillId="0" borderId="8" xfId="0" applyNumberFormat="1" applyFont="1" applyBorder="1" applyAlignment="1">
      <alignment vertical="center"/>
    </xf>
    <xf numFmtId="172" fontId="5" fillId="0" borderId="0" xfId="15" applyNumberFormat="1" applyFont="1" applyBorder="1" applyAlignment="1">
      <alignment/>
    </xf>
    <xf numFmtId="172" fontId="1" fillId="0" borderId="0" xfId="15" applyNumberFormat="1" applyFont="1" applyBorder="1" applyAlignment="1">
      <alignment/>
    </xf>
    <xf numFmtId="172" fontId="0" fillId="0" borderId="0" xfId="15" applyNumberFormat="1" applyFont="1" applyBorder="1" applyAlignment="1">
      <alignment/>
    </xf>
    <xf numFmtId="38" fontId="0" fillId="0" borderId="0" xfId="0" applyNumberFormat="1" applyAlignment="1">
      <alignment vertical="center"/>
    </xf>
    <xf numFmtId="172" fontId="4" fillId="0" borderId="9" xfId="15" applyNumberFormat="1" applyFont="1" applyBorder="1" applyAlignment="1">
      <alignment horizontal="center" vertical="center" wrapText="1"/>
    </xf>
    <xf numFmtId="172" fontId="4" fillId="0" borderId="9" xfId="15" applyNumberFormat="1" applyFont="1" applyBorder="1" applyAlignment="1">
      <alignment horizontal="center" vertical="center"/>
    </xf>
    <xf numFmtId="172" fontId="0" fillId="0" borderId="10" xfId="15" applyNumberFormat="1" applyFont="1" applyBorder="1" applyAlignment="1">
      <alignment vertical="center" wrapText="1"/>
    </xf>
    <xf numFmtId="172" fontId="0" fillId="0" borderId="10" xfId="15" applyNumberFormat="1" applyFont="1" applyBorder="1" applyAlignment="1">
      <alignment vertical="center"/>
    </xf>
    <xf numFmtId="172" fontId="0" fillId="0" borderId="1" xfId="15" applyNumberFormat="1" applyFont="1" applyBorder="1" applyAlignment="1">
      <alignment vertical="center" wrapText="1"/>
    </xf>
    <xf numFmtId="172" fontId="0" fillId="0" borderId="1" xfId="15" applyNumberFormat="1" applyFont="1" applyBorder="1" applyAlignment="1">
      <alignment vertical="center"/>
    </xf>
    <xf numFmtId="172" fontId="0" fillId="0" borderId="4" xfId="15" applyNumberFormat="1" applyFont="1" applyBorder="1" applyAlignment="1">
      <alignment vertical="center" wrapText="1"/>
    </xf>
    <xf numFmtId="172" fontId="0" fillId="0" borderId="4" xfId="15" applyNumberFormat="1" applyFont="1" applyBorder="1" applyAlignment="1">
      <alignment vertical="center"/>
    </xf>
    <xf numFmtId="172" fontId="3" fillId="0" borderId="0" xfId="15" applyNumberFormat="1" applyFont="1" applyBorder="1" applyAlignment="1">
      <alignment/>
    </xf>
    <xf numFmtId="0" fontId="12" fillId="0" borderId="0" xfId="0" applyFont="1" applyAlignment="1">
      <alignment/>
    </xf>
    <xf numFmtId="49" fontId="0" fillId="0" borderId="0" xfId="0" applyNumberFormat="1" applyAlignment="1">
      <alignment horizontal="center"/>
    </xf>
    <xf numFmtId="0" fontId="4" fillId="0" borderId="11" xfId="0" applyFont="1" applyBorder="1" applyAlignment="1">
      <alignment/>
    </xf>
    <xf numFmtId="49" fontId="0" fillId="0" borderId="12" xfId="0" applyNumberFormat="1" applyBorder="1" applyAlignment="1">
      <alignment horizontal="center"/>
    </xf>
    <xf numFmtId="0" fontId="4" fillId="0" borderId="13" xfId="0" applyFont="1" applyBorder="1" applyAlignment="1">
      <alignment horizontal="right"/>
    </xf>
    <xf numFmtId="0" fontId="4" fillId="0" borderId="14" xfId="0" applyFont="1" applyBorder="1" applyAlignment="1">
      <alignment/>
    </xf>
    <xf numFmtId="49" fontId="0" fillId="0" borderId="0" xfId="0" applyNumberFormat="1" applyBorder="1" applyAlignment="1">
      <alignment horizontal="center"/>
    </xf>
    <xf numFmtId="38" fontId="0" fillId="0" borderId="15" xfId="0" applyNumberFormat="1" applyBorder="1" applyAlignment="1">
      <alignment/>
    </xf>
    <xf numFmtId="0" fontId="0" fillId="0" borderId="14" xfId="0" applyBorder="1" applyAlignment="1">
      <alignment vertical="center"/>
    </xf>
    <xf numFmtId="38" fontId="0" fillId="0" borderId="15" xfId="0" applyNumberFormat="1" applyBorder="1" applyAlignment="1">
      <alignment vertical="center"/>
    </xf>
    <xf numFmtId="0" fontId="0" fillId="0" borderId="14" xfId="0" applyBorder="1" applyAlignment="1">
      <alignment vertical="center" wrapText="1"/>
    </xf>
    <xf numFmtId="0" fontId="12" fillId="0" borderId="14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0" fillId="0" borderId="16" xfId="0" applyBorder="1" applyAlignment="1">
      <alignment vertical="center" wrapText="1"/>
    </xf>
    <xf numFmtId="49" fontId="0" fillId="0" borderId="17" xfId="0" applyNumberFormat="1" applyBorder="1" applyAlignment="1">
      <alignment horizontal="center"/>
    </xf>
    <xf numFmtId="38" fontId="0" fillId="0" borderId="18" xfId="0" applyNumberFormat="1" applyBorder="1" applyAlignment="1">
      <alignment vertical="center"/>
    </xf>
    <xf numFmtId="0" fontId="4" fillId="0" borderId="19" xfId="0" applyFont="1" applyBorder="1" applyAlignment="1">
      <alignment horizontal="center"/>
    </xf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172" fontId="4" fillId="0" borderId="20" xfId="15" applyNumberFormat="1" applyFont="1" applyBorder="1" applyAlignment="1">
      <alignment vertical="top" wrapText="1"/>
    </xf>
    <xf numFmtId="38" fontId="0" fillId="0" borderId="10" xfId="0" applyNumberFormat="1" applyBorder="1" applyAlignment="1">
      <alignment/>
    </xf>
    <xf numFmtId="0" fontId="14" fillId="0" borderId="0" xfId="0" applyFont="1" applyAlignment="1">
      <alignment/>
    </xf>
    <xf numFmtId="172" fontId="14" fillId="0" borderId="0" xfId="15" applyNumberFormat="1" applyFont="1" applyAlignment="1">
      <alignment/>
    </xf>
    <xf numFmtId="0" fontId="16" fillId="0" borderId="9" xfId="0" applyFont="1" applyBorder="1" applyAlignment="1">
      <alignment horizontal="center"/>
    </xf>
    <xf numFmtId="172" fontId="16" fillId="0" borderId="9" xfId="15" applyNumberFormat="1" applyFont="1" applyBorder="1" applyAlignment="1">
      <alignment horizontal="center"/>
    </xf>
    <xf numFmtId="0" fontId="14" fillId="0" borderId="21" xfId="0" applyFont="1" applyBorder="1" applyAlignment="1">
      <alignment/>
    </xf>
    <xf numFmtId="172" fontId="14" fillId="0" borderId="21" xfId="15" applyNumberFormat="1" applyFont="1" applyBorder="1" applyAlignment="1">
      <alignment/>
    </xf>
    <xf numFmtId="0" fontId="17" fillId="0" borderId="22" xfId="0" applyFont="1" applyBorder="1" applyAlignment="1">
      <alignment horizontal="center"/>
    </xf>
    <xf numFmtId="0" fontId="17" fillId="0" borderId="22" xfId="0" applyFont="1" applyBorder="1" applyAlignment="1">
      <alignment/>
    </xf>
    <xf numFmtId="0" fontId="14" fillId="0" borderId="22" xfId="0" applyFont="1" applyBorder="1" applyAlignment="1">
      <alignment/>
    </xf>
    <xf numFmtId="172" fontId="14" fillId="0" borderId="22" xfId="15" applyNumberFormat="1" applyFont="1" applyBorder="1" applyAlignment="1">
      <alignment/>
    </xf>
    <xf numFmtId="0" fontId="17" fillId="0" borderId="23" xfId="0" applyFont="1" applyBorder="1" applyAlignment="1">
      <alignment horizontal="center"/>
    </xf>
    <xf numFmtId="0" fontId="14" fillId="0" borderId="23" xfId="0" applyFont="1" applyBorder="1" applyAlignment="1">
      <alignment/>
    </xf>
    <xf numFmtId="172" fontId="14" fillId="0" borderId="23" xfId="15" applyNumberFormat="1" applyFont="1" applyFill="1" applyBorder="1" applyAlignment="1">
      <alignment/>
    </xf>
    <xf numFmtId="172" fontId="14" fillId="0" borderId="23" xfId="15" applyNumberFormat="1" applyFont="1" applyBorder="1" applyAlignment="1">
      <alignment/>
    </xf>
    <xf numFmtId="0" fontId="14" fillId="0" borderId="0" xfId="0" applyFont="1" applyAlignment="1">
      <alignment horizontal="center"/>
    </xf>
    <xf numFmtId="172" fontId="14" fillId="0" borderId="0" xfId="15" applyNumberFormat="1" applyFont="1" applyFill="1" applyAlignment="1">
      <alignment/>
    </xf>
    <xf numFmtId="0" fontId="19" fillId="0" borderId="0" xfId="0" applyFont="1" applyAlignment="1">
      <alignment horizontal="center"/>
    </xf>
    <xf numFmtId="0" fontId="16" fillId="0" borderId="0" xfId="0" applyFont="1" applyAlignment="1">
      <alignment/>
    </xf>
    <xf numFmtId="43" fontId="14" fillId="0" borderId="0" xfId="15" applyFont="1" applyAlignment="1">
      <alignment/>
    </xf>
    <xf numFmtId="3" fontId="14" fillId="0" borderId="0" xfId="0" applyNumberFormat="1" applyFont="1" applyAlignment="1">
      <alignment/>
    </xf>
    <xf numFmtId="172" fontId="14" fillId="0" borderId="24" xfId="15" applyNumberFormat="1" applyFont="1" applyBorder="1" applyAlignment="1">
      <alignment/>
    </xf>
    <xf numFmtId="172" fontId="14" fillId="0" borderId="22" xfId="0" applyNumberFormat="1" applyFont="1" applyBorder="1" applyAlignment="1">
      <alignment/>
    </xf>
    <xf numFmtId="0" fontId="18" fillId="0" borderId="22" xfId="0" applyFont="1" applyBorder="1" applyAlignment="1">
      <alignment/>
    </xf>
    <xf numFmtId="0" fontId="14" fillId="0" borderId="21" xfId="0" applyFont="1" applyBorder="1" applyAlignment="1">
      <alignment horizontal="center"/>
    </xf>
    <xf numFmtId="49" fontId="17" fillId="0" borderId="0" xfId="15" applyNumberFormat="1" applyFont="1" applyBorder="1" applyAlignment="1">
      <alignment horizontal="left"/>
    </xf>
    <xf numFmtId="38" fontId="17" fillId="0" borderId="0" xfId="15" applyNumberFormat="1" applyFont="1" applyBorder="1" applyAlignment="1">
      <alignment/>
    </xf>
    <xf numFmtId="172" fontId="17" fillId="0" borderId="0" xfId="15" applyNumberFormat="1" applyFont="1" applyBorder="1" applyAlignment="1">
      <alignment wrapText="1"/>
    </xf>
    <xf numFmtId="172" fontId="16" fillId="0" borderId="0" xfId="15" applyNumberFormat="1" applyFont="1" applyBorder="1" applyAlignment="1">
      <alignment wrapText="1"/>
    </xf>
    <xf numFmtId="172" fontId="16" fillId="0" borderId="0" xfId="15" applyNumberFormat="1" applyFont="1" applyBorder="1" applyAlignment="1">
      <alignment/>
    </xf>
    <xf numFmtId="172" fontId="16" fillId="0" borderId="0" xfId="15" applyNumberFormat="1" applyFont="1" applyBorder="1" applyAlignment="1">
      <alignment vertical="center"/>
    </xf>
    <xf numFmtId="172" fontId="17" fillId="0" borderId="0" xfId="15" applyNumberFormat="1" applyFont="1" applyBorder="1" applyAlignment="1">
      <alignment/>
    </xf>
    <xf numFmtId="172" fontId="16" fillId="0" borderId="20" xfId="15" applyNumberFormat="1" applyFont="1" applyBorder="1" applyAlignment="1">
      <alignment vertical="center"/>
    </xf>
    <xf numFmtId="172" fontId="17" fillId="0" borderId="0" xfId="15" applyNumberFormat="1" applyFont="1" applyBorder="1" applyAlignment="1">
      <alignment vertical="top"/>
    </xf>
    <xf numFmtId="172" fontId="17" fillId="0" borderId="0" xfId="15" applyNumberFormat="1" applyFont="1" applyBorder="1" applyAlignment="1">
      <alignment horizontal="centerContinuous" wrapText="1"/>
    </xf>
    <xf numFmtId="174" fontId="17" fillId="0" borderId="0" xfId="15" applyNumberFormat="1" applyFont="1" applyBorder="1" applyAlignment="1">
      <alignment horizontal="center"/>
    </xf>
    <xf numFmtId="172" fontId="17" fillId="0" borderId="0" xfId="15" applyNumberFormat="1" applyFont="1" applyBorder="1" applyAlignment="1">
      <alignment horizontal="centerContinuous"/>
    </xf>
    <xf numFmtId="49" fontId="17" fillId="0" borderId="0" xfId="15" applyNumberFormat="1" applyFont="1" applyBorder="1" applyAlignment="1">
      <alignment horizontal="center"/>
    </xf>
    <xf numFmtId="172" fontId="17" fillId="0" borderId="0" xfId="15" applyNumberFormat="1" applyFont="1" applyBorder="1" applyAlignment="1">
      <alignment vertical="center"/>
    </xf>
    <xf numFmtId="49" fontId="16" fillId="0" borderId="0" xfId="15" applyNumberFormat="1" applyFont="1" applyBorder="1" applyAlignment="1">
      <alignment horizontal="center"/>
    </xf>
    <xf numFmtId="172" fontId="17" fillId="0" borderId="0" xfId="15" applyNumberFormat="1" applyFont="1" applyBorder="1" applyAlignment="1">
      <alignment horizontal="center"/>
    </xf>
    <xf numFmtId="172" fontId="17" fillId="0" borderId="0" xfId="15" applyNumberFormat="1" applyFont="1" applyBorder="1" applyAlignment="1">
      <alignment vertical="top" wrapText="1"/>
    </xf>
    <xf numFmtId="174" fontId="16" fillId="0" borderId="0" xfId="15" applyNumberFormat="1" applyFont="1" applyBorder="1" applyAlignment="1">
      <alignment horizontal="center"/>
    </xf>
    <xf numFmtId="172" fontId="16" fillId="0" borderId="0" xfId="15" applyNumberFormat="1" applyFont="1" applyBorder="1" applyAlignment="1">
      <alignment/>
    </xf>
    <xf numFmtId="172" fontId="17" fillId="0" borderId="0" xfId="15" applyNumberFormat="1" applyFont="1" applyFill="1" applyBorder="1" applyAlignment="1">
      <alignment wrapText="1"/>
    </xf>
    <xf numFmtId="172" fontId="16" fillId="0" borderId="0" xfId="15" applyNumberFormat="1" applyFont="1" applyBorder="1" applyAlignment="1">
      <alignment horizontal="right"/>
    </xf>
    <xf numFmtId="172" fontId="17" fillId="0" borderId="20" xfId="15" applyNumberFormat="1" applyFont="1" applyBorder="1" applyAlignment="1">
      <alignment/>
    </xf>
    <xf numFmtId="172" fontId="15" fillId="0" borderId="0" xfId="15" applyNumberFormat="1" applyFont="1" applyBorder="1" applyAlignment="1">
      <alignment/>
    </xf>
    <xf numFmtId="172" fontId="17" fillId="0" borderId="20" xfId="15" applyNumberFormat="1" applyFont="1" applyBorder="1" applyAlignment="1">
      <alignment vertical="top"/>
    </xf>
    <xf numFmtId="174" fontId="17" fillId="0" borderId="1" xfId="15" applyNumberFormat="1" applyFont="1" applyBorder="1" applyAlignment="1">
      <alignment horizontal="center"/>
    </xf>
    <xf numFmtId="172" fontId="17" fillId="0" borderId="1" xfId="15" applyNumberFormat="1" applyFont="1" applyBorder="1" applyAlignment="1">
      <alignment horizontal="center"/>
    </xf>
    <xf numFmtId="49" fontId="17" fillId="0" borderId="1" xfId="15" applyNumberFormat="1" applyFont="1" applyBorder="1" applyAlignment="1">
      <alignment horizontal="center"/>
    </xf>
    <xf numFmtId="172" fontId="16" fillId="0" borderId="1" xfId="15" applyNumberFormat="1" applyFont="1" applyBorder="1" applyAlignment="1">
      <alignment horizontal="center"/>
    </xf>
    <xf numFmtId="49" fontId="16" fillId="0" borderId="25" xfId="15" applyNumberFormat="1" applyFont="1" applyBorder="1" applyAlignment="1">
      <alignment horizontal="center" vertical="center" wrapText="1"/>
    </xf>
    <xf numFmtId="172" fontId="16" fillId="0" borderId="26" xfId="15" applyNumberFormat="1" applyFont="1" applyBorder="1" applyAlignment="1">
      <alignment horizontal="center" vertical="center"/>
    </xf>
    <xf numFmtId="174" fontId="17" fillId="0" borderId="27" xfId="15" applyNumberFormat="1" applyFont="1" applyBorder="1" applyAlignment="1">
      <alignment horizontal="center"/>
    </xf>
    <xf numFmtId="172" fontId="16" fillId="0" borderId="27" xfId="15" applyNumberFormat="1" applyFont="1" applyBorder="1" applyAlignment="1">
      <alignment horizontal="center"/>
    </xf>
    <xf numFmtId="49" fontId="17" fillId="0" borderId="27" xfId="15" applyNumberFormat="1" applyFont="1" applyBorder="1" applyAlignment="1">
      <alignment horizontal="center"/>
    </xf>
    <xf numFmtId="172" fontId="16" fillId="0" borderId="25" xfId="15" applyNumberFormat="1" applyFont="1" applyBorder="1" applyAlignment="1">
      <alignment horizontal="center" vertical="center" wrapText="1"/>
    </xf>
    <xf numFmtId="172" fontId="16" fillId="0" borderId="28" xfId="15" applyNumberFormat="1" applyFont="1" applyBorder="1" applyAlignment="1">
      <alignment horizontal="center" vertical="center"/>
    </xf>
    <xf numFmtId="174" fontId="16" fillId="0" borderId="25" xfId="15" applyNumberFormat="1" applyFont="1" applyBorder="1" applyAlignment="1">
      <alignment horizontal="center" vertical="center"/>
    </xf>
    <xf numFmtId="0" fontId="17" fillId="0" borderId="0" xfId="0" applyFont="1" applyAlignment="1">
      <alignment/>
    </xf>
    <xf numFmtId="0" fontId="17" fillId="0" borderId="3" xfId="0" applyFont="1" applyBorder="1" applyAlignment="1">
      <alignment/>
    </xf>
    <xf numFmtId="0" fontId="17" fillId="0" borderId="1" xfId="0" applyFont="1" applyBorder="1" applyAlignment="1">
      <alignment/>
    </xf>
    <xf numFmtId="0" fontId="17" fillId="0" borderId="2" xfId="0" applyFont="1" applyBorder="1" applyAlignment="1">
      <alignment/>
    </xf>
    <xf numFmtId="0" fontId="17" fillId="0" borderId="6" xfId="0" applyFont="1" applyBorder="1" applyAlignment="1">
      <alignment/>
    </xf>
    <xf numFmtId="0" fontId="17" fillId="0" borderId="7" xfId="0" applyFont="1" applyBorder="1" applyAlignment="1">
      <alignment/>
    </xf>
    <xf numFmtId="0" fontId="17" fillId="0" borderId="8" xfId="0" applyFont="1" applyBorder="1" applyAlignment="1">
      <alignment/>
    </xf>
    <xf numFmtId="0" fontId="16" fillId="0" borderId="28" xfId="0" applyFont="1" applyBorder="1" applyAlignment="1">
      <alignment horizontal="center" vertical="center"/>
    </xf>
    <xf numFmtId="0" fontId="16" fillId="0" borderId="25" xfId="0" applyFont="1" applyBorder="1" applyAlignment="1">
      <alignment horizontal="center" vertical="center" wrapText="1"/>
    </xf>
    <xf numFmtId="0" fontId="16" fillId="0" borderId="25" xfId="0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7" fillId="0" borderId="20" xfId="0" applyFont="1" applyBorder="1" applyAlignment="1">
      <alignment/>
    </xf>
    <xf numFmtId="172" fontId="17" fillId="0" borderId="0" xfId="15" applyNumberFormat="1" applyFont="1" applyAlignment="1">
      <alignment/>
    </xf>
    <xf numFmtId="172" fontId="20" fillId="0" borderId="0" xfId="15" applyNumberFormat="1" applyFont="1" applyBorder="1" applyAlignment="1">
      <alignment/>
    </xf>
    <xf numFmtId="38" fontId="17" fillId="0" borderId="0" xfId="15" applyNumberFormat="1" applyFont="1" applyFill="1" applyBorder="1" applyAlignment="1">
      <alignment/>
    </xf>
    <xf numFmtId="172" fontId="16" fillId="0" borderId="0" xfId="15" applyNumberFormat="1" applyFont="1" applyAlignment="1">
      <alignment/>
    </xf>
    <xf numFmtId="3" fontId="16" fillId="0" borderId="0" xfId="15" applyNumberFormat="1" applyFont="1" applyAlignment="1">
      <alignment/>
    </xf>
    <xf numFmtId="172" fontId="17" fillId="0" borderId="20" xfId="15" applyNumberFormat="1" applyFont="1" applyBorder="1" applyAlignment="1">
      <alignment/>
    </xf>
    <xf numFmtId="0" fontId="17" fillId="0" borderId="1" xfId="0" applyFont="1" applyBorder="1" applyAlignment="1" quotePrefix="1">
      <alignment horizontal="center"/>
    </xf>
    <xf numFmtId="0" fontId="17" fillId="0" borderId="20" xfId="0" applyFont="1" applyBorder="1" applyAlignment="1">
      <alignment horizontal="center"/>
    </xf>
    <xf numFmtId="172" fontId="17" fillId="0" borderId="0" xfId="15" applyNumberFormat="1" applyFont="1" applyBorder="1" applyAlignment="1" quotePrefix="1">
      <alignment/>
    </xf>
    <xf numFmtId="0" fontId="16" fillId="0" borderId="1" xfId="0" applyFont="1" applyBorder="1" applyAlignment="1">
      <alignment horizontal="center"/>
    </xf>
    <xf numFmtId="0" fontId="16" fillId="0" borderId="7" xfId="0" applyFont="1" applyBorder="1" applyAlignment="1">
      <alignment horizontal="center"/>
    </xf>
    <xf numFmtId="172" fontId="17" fillId="0" borderId="20" xfId="15" applyNumberFormat="1" applyFont="1" applyBorder="1" applyAlignment="1">
      <alignment wrapText="1"/>
    </xf>
    <xf numFmtId="43" fontId="17" fillId="0" borderId="1" xfId="15" applyFont="1" applyBorder="1" applyAlignment="1">
      <alignment/>
    </xf>
    <xf numFmtId="43" fontId="17" fillId="0" borderId="2" xfId="15" applyFont="1" applyBorder="1" applyAlignment="1">
      <alignment/>
    </xf>
    <xf numFmtId="0" fontId="16" fillId="0" borderId="26" xfId="0" applyFont="1" applyBorder="1" applyAlignment="1" quotePrefix="1">
      <alignment horizontal="center" vertical="center"/>
    </xf>
    <xf numFmtId="0" fontId="17" fillId="0" borderId="22" xfId="0" applyFont="1" applyBorder="1" applyAlignment="1">
      <alignment vertical="center" wrapText="1"/>
    </xf>
    <xf numFmtId="172" fontId="21" fillId="0" borderId="0" xfId="15" applyNumberFormat="1" applyFont="1" applyBorder="1" applyAlignment="1">
      <alignment horizontal="left" wrapText="1"/>
    </xf>
    <xf numFmtId="0" fontId="14" fillId="0" borderId="20" xfId="0" applyFont="1" applyBorder="1" applyAlignment="1">
      <alignment/>
    </xf>
    <xf numFmtId="172" fontId="14" fillId="0" borderId="20" xfId="15" applyNumberFormat="1" applyFont="1" applyBorder="1" applyAlignment="1">
      <alignment/>
    </xf>
    <xf numFmtId="0" fontId="14" fillId="0" borderId="0" xfId="0" applyFont="1" applyBorder="1" applyAlignment="1">
      <alignment/>
    </xf>
    <xf numFmtId="172" fontId="14" fillId="0" borderId="0" xfId="15" applyNumberFormat="1" applyFont="1" applyBorder="1" applyAlignment="1">
      <alignment/>
    </xf>
    <xf numFmtId="0" fontId="17" fillId="0" borderId="22" xfId="0" applyFont="1" applyBorder="1" applyAlignment="1">
      <alignment wrapText="1"/>
    </xf>
    <xf numFmtId="172" fontId="17" fillId="0" borderId="22" xfId="15" applyNumberFormat="1" applyFont="1" applyFill="1" applyBorder="1" applyAlignment="1">
      <alignment/>
    </xf>
    <xf numFmtId="0" fontId="17" fillId="0" borderId="29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justify"/>
    </xf>
    <xf numFmtId="0" fontId="14" fillId="0" borderId="22" xfId="0" applyFont="1" applyBorder="1" applyAlignment="1">
      <alignment horizontal="justify"/>
    </xf>
    <xf numFmtId="0" fontId="17" fillId="0" borderId="29" xfId="0" applyFont="1" applyBorder="1" applyAlignment="1">
      <alignment horizontal="center"/>
    </xf>
    <xf numFmtId="0" fontId="17" fillId="0" borderId="29" xfId="0" applyFont="1" applyBorder="1" applyAlignment="1">
      <alignment/>
    </xf>
    <xf numFmtId="172" fontId="17" fillId="0" borderId="29" xfId="15" applyNumberFormat="1" applyFont="1" applyFill="1" applyBorder="1" applyAlignment="1">
      <alignment/>
    </xf>
    <xf numFmtId="0" fontId="14" fillId="0" borderId="22" xfId="0" applyFont="1" applyBorder="1" applyAlignment="1">
      <alignment vertical="center" wrapText="1"/>
    </xf>
    <xf numFmtId="172" fontId="22" fillId="0" borderId="1" xfId="15" applyNumberFormat="1" applyFont="1" applyFill="1" applyBorder="1" applyAlignment="1">
      <alignment/>
    </xf>
    <xf numFmtId="172" fontId="22" fillId="0" borderId="1" xfId="15" applyNumberFormat="1" applyFont="1" applyBorder="1" applyAlignment="1">
      <alignment/>
    </xf>
    <xf numFmtId="43" fontId="22" fillId="0" borderId="1" xfId="15" applyFont="1" applyFill="1" applyBorder="1" applyAlignment="1">
      <alignment/>
    </xf>
    <xf numFmtId="43" fontId="22" fillId="0" borderId="1" xfId="15" applyFont="1" applyBorder="1" applyAlignment="1">
      <alignment/>
    </xf>
    <xf numFmtId="38" fontId="23" fillId="0" borderId="1" xfId="15" applyNumberFormat="1" applyFont="1" applyBorder="1" applyAlignment="1">
      <alignment/>
    </xf>
    <xf numFmtId="0" fontId="14" fillId="0" borderId="29" xfId="0" applyFont="1" applyBorder="1" applyAlignment="1">
      <alignment/>
    </xf>
    <xf numFmtId="0" fontId="18" fillId="0" borderId="29" xfId="0" applyFont="1" applyBorder="1" applyAlignment="1">
      <alignment/>
    </xf>
    <xf numFmtId="38" fontId="22" fillId="0" borderId="1" xfId="15" applyNumberFormat="1" applyFont="1" applyBorder="1" applyAlignment="1">
      <alignment/>
    </xf>
    <xf numFmtId="38" fontId="22" fillId="0" borderId="1" xfId="15" applyNumberFormat="1" applyFont="1" applyFill="1" applyBorder="1" applyAlignment="1">
      <alignment/>
    </xf>
    <xf numFmtId="172" fontId="22" fillId="0" borderId="2" xfId="15" applyNumberFormat="1" applyFont="1" applyBorder="1" applyAlignment="1">
      <alignment/>
    </xf>
    <xf numFmtId="38" fontId="23" fillId="0" borderId="27" xfId="15" applyNumberFormat="1" applyFont="1" applyBorder="1" applyAlignment="1">
      <alignment/>
    </xf>
    <xf numFmtId="38" fontId="22" fillId="0" borderId="0" xfId="15" applyNumberFormat="1" applyFont="1" applyBorder="1" applyAlignment="1">
      <alignment/>
    </xf>
    <xf numFmtId="172" fontId="22" fillId="0" borderId="0" xfId="15" applyNumberFormat="1" applyFont="1" applyBorder="1" applyAlignment="1">
      <alignment/>
    </xf>
    <xf numFmtId="172" fontId="23" fillId="0" borderId="3" xfId="15" applyNumberFormat="1" applyFont="1" applyBorder="1" applyAlignment="1">
      <alignment horizontal="center"/>
    </xf>
    <xf numFmtId="172" fontId="22" fillId="0" borderId="3" xfId="15" applyNumberFormat="1" applyFont="1" applyBorder="1" applyAlignment="1" quotePrefix="1">
      <alignment horizontal="center"/>
    </xf>
    <xf numFmtId="172" fontId="22" fillId="0" borderId="1" xfId="15" applyNumberFormat="1" applyFont="1" applyBorder="1" applyAlignment="1">
      <alignment wrapText="1"/>
    </xf>
    <xf numFmtId="172" fontId="22" fillId="0" borderId="3" xfId="15" applyNumberFormat="1" applyFont="1" applyBorder="1" applyAlignment="1">
      <alignment horizontal="center"/>
    </xf>
    <xf numFmtId="172" fontId="22" fillId="0" borderId="1" xfId="15" applyNumberFormat="1" applyFont="1" applyBorder="1" applyAlignment="1" quotePrefix="1">
      <alignment wrapText="1"/>
    </xf>
    <xf numFmtId="172" fontId="23" fillId="0" borderId="1" xfId="15" applyNumberFormat="1" applyFont="1" applyBorder="1" applyAlignment="1">
      <alignment wrapText="1"/>
    </xf>
    <xf numFmtId="172" fontId="22" fillId="0" borderId="30" xfId="15" applyNumberFormat="1" applyFont="1" applyBorder="1" applyAlignment="1">
      <alignment horizontal="center"/>
    </xf>
    <xf numFmtId="174" fontId="22" fillId="0" borderId="1" xfId="15" applyNumberFormat="1" applyFont="1" applyBorder="1" applyAlignment="1">
      <alignment horizontal="center"/>
    </xf>
    <xf numFmtId="172" fontId="23" fillId="0" borderId="1" xfId="15" applyNumberFormat="1" applyFont="1" applyBorder="1" applyAlignment="1">
      <alignment horizontal="center"/>
    </xf>
    <xf numFmtId="49" fontId="22" fillId="0" borderId="1" xfId="15" applyNumberFormat="1" applyFont="1" applyBorder="1" applyAlignment="1">
      <alignment horizontal="center"/>
    </xf>
    <xf numFmtId="0" fontId="22" fillId="0" borderId="1" xfId="0" applyFont="1" applyBorder="1" applyAlignment="1">
      <alignment wrapText="1"/>
    </xf>
    <xf numFmtId="172" fontId="22" fillId="0" borderId="1" xfId="15" applyNumberFormat="1" applyFont="1" applyBorder="1" applyAlignment="1">
      <alignment horizontal="center"/>
    </xf>
    <xf numFmtId="49" fontId="22" fillId="0" borderId="1" xfId="15" applyNumberFormat="1" applyFont="1" applyBorder="1" applyAlignment="1">
      <alignment horizontal="center" vertical="top"/>
    </xf>
    <xf numFmtId="174" fontId="22" fillId="0" borderId="27" xfId="15" applyNumberFormat="1" applyFont="1" applyBorder="1" applyAlignment="1">
      <alignment horizontal="center"/>
    </xf>
    <xf numFmtId="172" fontId="23" fillId="0" borderId="27" xfId="15" applyNumberFormat="1" applyFont="1" applyBorder="1" applyAlignment="1">
      <alignment horizontal="center"/>
    </xf>
    <xf numFmtId="49" fontId="22" fillId="0" borderId="27" xfId="15" applyNumberFormat="1" applyFont="1" applyBorder="1" applyAlignment="1">
      <alignment horizontal="center"/>
    </xf>
    <xf numFmtId="172" fontId="23" fillId="0" borderId="1" xfId="15" applyNumberFormat="1" applyFont="1" applyBorder="1" applyAlignment="1">
      <alignment/>
    </xf>
    <xf numFmtId="172" fontId="24" fillId="0" borderId="0" xfId="15" applyNumberFormat="1" applyFont="1" applyBorder="1" applyAlignment="1">
      <alignment horizontal="right"/>
    </xf>
    <xf numFmtId="172" fontId="23" fillId="0" borderId="7" xfId="15" applyNumberFormat="1" applyFont="1" applyBorder="1" applyAlignment="1">
      <alignment/>
    </xf>
    <xf numFmtId="172" fontId="17" fillId="0" borderId="0" xfId="0" applyNumberFormat="1" applyFont="1" applyAlignment="1">
      <alignment/>
    </xf>
    <xf numFmtId="0" fontId="23" fillId="0" borderId="3" xfId="0" applyFont="1" applyBorder="1" applyAlignment="1">
      <alignment horizontal="center" vertical="top"/>
    </xf>
    <xf numFmtId="0" fontId="23" fillId="0" borderId="1" xfId="0" applyFont="1" applyBorder="1" applyAlignment="1">
      <alignment wrapText="1"/>
    </xf>
    <xf numFmtId="0" fontId="22" fillId="0" borderId="3" xfId="0" applyFont="1" applyBorder="1" applyAlignment="1" quotePrefix="1">
      <alignment horizontal="center"/>
    </xf>
    <xf numFmtId="0" fontId="22" fillId="0" borderId="1" xfId="0" applyFont="1" applyBorder="1" applyAlignment="1">
      <alignment/>
    </xf>
    <xf numFmtId="0" fontId="22" fillId="0" borderId="1" xfId="0" applyFont="1" applyBorder="1" applyAlignment="1">
      <alignment horizontal="left"/>
    </xf>
    <xf numFmtId="0" fontId="22" fillId="0" borderId="3" xfId="0" applyFont="1" applyBorder="1" applyAlignment="1">
      <alignment horizontal="center"/>
    </xf>
    <xf numFmtId="0" fontId="23" fillId="0" borderId="1" xfId="0" applyFont="1" applyBorder="1" applyAlignment="1">
      <alignment/>
    </xf>
    <xf numFmtId="0" fontId="23" fillId="0" borderId="3" xfId="0" applyFont="1" applyBorder="1" applyAlignment="1">
      <alignment horizontal="center"/>
    </xf>
    <xf numFmtId="0" fontId="22" fillId="0" borderId="3" xfId="0" applyFont="1" applyBorder="1" applyAlignment="1" quotePrefix="1">
      <alignment horizontal="center" vertical="center"/>
    </xf>
    <xf numFmtId="0" fontId="22" fillId="0" borderId="6" xfId="0" applyFont="1" applyBorder="1" applyAlignment="1">
      <alignment horizontal="center"/>
    </xf>
    <xf numFmtId="0" fontId="23" fillId="0" borderId="7" xfId="0" applyFont="1" applyBorder="1" applyAlignment="1">
      <alignment/>
    </xf>
    <xf numFmtId="174" fontId="17" fillId="0" borderId="20" xfId="15" applyNumberFormat="1" applyFont="1" applyBorder="1" applyAlignment="1">
      <alignment horizontal="center"/>
    </xf>
    <xf numFmtId="49" fontId="17" fillId="0" borderId="20" xfId="15" applyNumberFormat="1" applyFont="1" applyBorder="1" applyAlignment="1">
      <alignment horizontal="center"/>
    </xf>
    <xf numFmtId="172" fontId="17" fillId="0" borderId="31" xfId="15" applyNumberFormat="1" applyFont="1" applyBorder="1" applyAlignment="1">
      <alignment horizontal="center"/>
    </xf>
    <xf numFmtId="174" fontId="17" fillId="0" borderId="31" xfId="15" applyNumberFormat="1" applyFont="1" applyBorder="1" applyAlignment="1">
      <alignment horizontal="center"/>
    </xf>
    <xf numFmtId="49" fontId="17" fillId="0" borderId="31" xfId="15" applyNumberFormat="1" applyFont="1" applyBorder="1" applyAlignment="1">
      <alignment horizontal="center"/>
    </xf>
    <xf numFmtId="38" fontId="22" fillId="0" borderId="31" xfId="15" applyNumberFormat="1" applyFont="1" applyBorder="1" applyAlignment="1">
      <alignment/>
    </xf>
    <xf numFmtId="172" fontId="22" fillId="0" borderId="31" xfId="15" applyNumberFormat="1" applyFont="1" applyBorder="1" applyAlignment="1">
      <alignment/>
    </xf>
    <xf numFmtId="0" fontId="16" fillId="0" borderId="20" xfId="0" applyFont="1" applyBorder="1" applyAlignment="1">
      <alignment/>
    </xf>
    <xf numFmtId="43" fontId="17" fillId="0" borderId="0" xfId="15" applyNumberFormat="1" applyFont="1" applyBorder="1" applyAlignment="1">
      <alignment/>
    </xf>
    <xf numFmtId="3" fontId="16" fillId="0" borderId="0" xfId="15" applyNumberFormat="1" applyFont="1" applyBorder="1" applyAlignment="1">
      <alignment vertical="center"/>
    </xf>
    <xf numFmtId="3" fontId="17" fillId="0" borderId="0" xfId="15" applyNumberFormat="1" applyFont="1" applyAlignment="1">
      <alignment/>
    </xf>
    <xf numFmtId="172" fontId="28" fillId="0" borderId="0" xfId="15" applyNumberFormat="1" applyFont="1" applyAlignment="1">
      <alignment/>
    </xf>
    <xf numFmtId="172" fontId="17" fillId="0" borderId="0" xfId="15" applyNumberFormat="1" applyFont="1" applyAlignment="1">
      <alignment horizontal="centerContinuous"/>
    </xf>
    <xf numFmtId="172" fontId="17" fillId="0" borderId="0" xfId="15" applyNumberFormat="1" applyFont="1" applyAlignment="1">
      <alignment horizontal="center"/>
    </xf>
    <xf numFmtId="172" fontId="17" fillId="0" borderId="0" xfId="15" applyNumberFormat="1" applyFont="1" applyAlignment="1">
      <alignment/>
    </xf>
    <xf numFmtId="3" fontId="24" fillId="0" borderId="0" xfId="15" applyNumberFormat="1" applyFont="1" applyAlignment="1">
      <alignment horizontal="right"/>
    </xf>
    <xf numFmtId="172" fontId="17" fillId="0" borderId="0" xfId="15" applyNumberFormat="1" applyFont="1" applyAlignment="1">
      <alignment horizontal="centerContinuous" wrapText="1"/>
    </xf>
    <xf numFmtId="3" fontId="29" fillId="0" borderId="0" xfId="15" applyNumberFormat="1" applyFont="1" applyAlignment="1">
      <alignment horizontal="right"/>
    </xf>
    <xf numFmtId="172" fontId="16" fillId="0" borderId="25" xfId="15" applyNumberFormat="1" applyFont="1" applyBorder="1" applyAlignment="1">
      <alignment horizontal="center" vertical="center"/>
    </xf>
    <xf numFmtId="49" fontId="16" fillId="0" borderId="26" xfId="15" applyNumberFormat="1" applyFont="1" applyBorder="1" applyAlignment="1">
      <alignment horizontal="center" vertical="center" wrapText="1"/>
    </xf>
    <xf numFmtId="172" fontId="23" fillId="0" borderId="1" xfId="15" applyNumberFormat="1" applyFont="1" applyFill="1" applyBorder="1" applyAlignment="1">
      <alignment/>
    </xf>
    <xf numFmtId="172" fontId="22" fillId="0" borderId="1" xfId="15" applyNumberFormat="1" applyFont="1" applyBorder="1" applyAlignment="1">
      <alignment horizontal="left" wrapText="1"/>
    </xf>
    <xf numFmtId="172" fontId="22" fillId="0" borderId="1" xfId="15" applyNumberFormat="1" applyFont="1" applyBorder="1" applyAlignment="1">
      <alignment/>
    </xf>
    <xf numFmtId="172" fontId="23" fillId="0" borderId="1" xfId="15" applyNumberFormat="1" applyFont="1" applyFill="1" applyBorder="1" applyAlignment="1">
      <alignment/>
    </xf>
    <xf numFmtId="172" fontId="22" fillId="0" borderId="1" xfId="15" applyNumberFormat="1" applyFont="1" applyFill="1" applyBorder="1" applyAlignment="1">
      <alignment wrapText="1"/>
    </xf>
    <xf numFmtId="172" fontId="23" fillId="0" borderId="1" xfId="15" applyNumberFormat="1" applyFont="1" applyFill="1" applyBorder="1" applyAlignment="1">
      <alignment horizontal="center"/>
    </xf>
    <xf numFmtId="172" fontId="22" fillId="0" borderId="1" xfId="15" applyNumberFormat="1" applyFont="1" applyFill="1" applyBorder="1" applyAlignment="1">
      <alignment horizontal="center"/>
    </xf>
    <xf numFmtId="172" fontId="23" fillId="0" borderId="7" xfId="15" applyNumberFormat="1" applyFont="1" applyFill="1" applyBorder="1" applyAlignment="1">
      <alignment/>
    </xf>
    <xf numFmtId="172" fontId="22" fillId="0" borderId="7" xfId="15" applyNumberFormat="1" applyFont="1" applyFill="1" applyBorder="1" applyAlignment="1">
      <alignment wrapText="1"/>
    </xf>
    <xf numFmtId="172" fontId="23" fillId="0" borderId="7" xfId="15" applyNumberFormat="1" applyFont="1" applyFill="1" applyBorder="1" applyAlignment="1">
      <alignment horizontal="center"/>
    </xf>
    <xf numFmtId="172" fontId="22" fillId="0" borderId="7" xfId="15" applyNumberFormat="1" applyFont="1" applyFill="1" applyBorder="1" applyAlignment="1">
      <alignment horizontal="center"/>
    </xf>
    <xf numFmtId="172" fontId="23" fillId="0" borderId="7" xfId="15" applyNumberFormat="1" applyFont="1" applyFill="1" applyBorder="1" applyAlignment="1">
      <alignment/>
    </xf>
    <xf numFmtId="172" fontId="17" fillId="0" borderId="0" xfId="15" applyNumberFormat="1" applyFont="1" applyAlignment="1">
      <alignment wrapText="1"/>
    </xf>
    <xf numFmtId="172" fontId="16" fillId="0" borderId="0" xfId="15" applyNumberFormat="1" applyFont="1" applyAlignment="1">
      <alignment horizontal="center"/>
    </xf>
    <xf numFmtId="172" fontId="17" fillId="0" borderId="20" xfId="15" applyNumberFormat="1" applyFont="1" applyBorder="1" applyAlignment="1">
      <alignment horizontal="center"/>
    </xf>
    <xf numFmtId="3" fontId="17" fillId="0" borderId="20" xfId="15" applyNumberFormat="1" applyFont="1" applyBorder="1" applyAlignment="1">
      <alignment/>
    </xf>
    <xf numFmtId="172" fontId="24" fillId="0" borderId="1" xfId="15" applyNumberFormat="1" applyFont="1" applyBorder="1" applyAlignment="1">
      <alignment wrapText="1"/>
    </xf>
    <xf numFmtId="172" fontId="24" fillId="0" borderId="1" xfId="15" applyNumberFormat="1" applyFont="1" applyBorder="1" applyAlignment="1">
      <alignment horizontal="center"/>
    </xf>
    <xf numFmtId="172" fontId="24" fillId="0" borderId="1" xfId="15" applyNumberFormat="1" applyFont="1" applyBorder="1" applyAlignment="1">
      <alignment/>
    </xf>
    <xf numFmtId="172" fontId="23" fillId="0" borderId="28" xfId="15" applyNumberFormat="1" applyFont="1" applyBorder="1" applyAlignment="1">
      <alignment horizontal="center" vertical="center"/>
    </xf>
    <xf numFmtId="172" fontId="23" fillId="0" borderId="25" xfId="15" applyNumberFormat="1" applyFont="1" applyBorder="1" applyAlignment="1">
      <alignment horizontal="center" vertical="center" wrapText="1"/>
    </xf>
    <xf numFmtId="172" fontId="23" fillId="0" borderId="3" xfId="15" applyNumberFormat="1" applyFont="1" applyBorder="1" applyAlignment="1" quotePrefix="1">
      <alignment horizontal="center"/>
    </xf>
    <xf numFmtId="172" fontId="23" fillId="0" borderId="3" xfId="15" applyNumberFormat="1" applyFont="1" applyBorder="1" applyAlignment="1" quotePrefix="1">
      <alignment horizontal="center" vertical="center"/>
    </xf>
    <xf numFmtId="172" fontId="23" fillId="0" borderId="6" xfId="15" applyNumberFormat="1" applyFont="1" applyBorder="1" applyAlignment="1" quotePrefix="1">
      <alignment horizontal="center"/>
    </xf>
    <xf numFmtId="0" fontId="14" fillId="0" borderId="0" xfId="0" applyFont="1" applyAlignment="1">
      <alignment horizontal="left"/>
    </xf>
    <xf numFmtId="172" fontId="22" fillId="0" borderId="0" xfId="15" applyNumberFormat="1" applyFont="1" applyFill="1" applyAlignment="1">
      <alignment/>
    </xf>
    <xf numFmtId="0" fontId="19" fillId="0" borderId="0" xfId="0" applyFont="1" applyAlignment="1">
      <alignment/>
    </xf>
    <xf numFmtId="172" fontId="23" fillId="0" borderId="0" xfId="15" applyNumberFormat="1" applyFont="1" applyAlignment="1">
      <alignment/>
    </xf>
    <xf numFmtId="172" fontId="22" fillId="0" borderId="0" xfId="15" applyNumberFormat="1" applyFont="1" applyAlignment="1">
      <alignment/>
    </xf>
    <xf numFmtId="0" fontId="17" fillId="2" borderId="29" xfId="0" applyFont="1" applyFill="1" applyBorder="1" applyAlignment="1">
      <alignment horizontal="center"/>
    </xf>
    <xf numFmtId="0" fontId="17" fillId="2" borderId="22" xfId="0" applyFont="1" applyFill="1" applyBorder="1" applyAlignment="1">
      <alignment horizontal="justify"/>
    </xf>
    <xf numFmtId="0" fontId="17" fillId="2" borderId="29" xfId="0" applyFont="1" applyFill="1" applyBorder="1" applyAlignment="1">
      <alignment/>
    </xf>
    <xf numFmtId="172" fontId="23" fillId="0" borderId="8" xfId="15" applyNumberFormat="1" applyFont="1" applyBorder="1" applyAlignment="1">
      <alignment/>
    </xf>
    <xf numFmtId="41" fontId="17" fillId="0" borderId="1" xfId="15" applyNumberFormat="1" applyFont="1" applyBorder="1" applyAlignment="1">
      <alignment/>
    </xf>
    <xf numFmtId="41" fontId="17" fillId="0" borderId="2" xfId="15" applyNumberFormat="1" applyFont="1" applyBorder="1" applyAlignment="1">
      <alignment/>
    </xf>
    <xf numFmtId="41" fontId="23" fillId="0" borderId="1" xfId="15" applyNumberFormat="1" applyFont="1" applyBorder="1" applyAlignment="1">
      <alignment/>
    </xf>
    <xf numFmtId="41" fontId="23" fillId="0" borderId="2" xfId="15" applyNumberFormat="1" applyFont="1" applyBorder="1" applyAlignment="1">
      <alignment/>
    </xf>
    <xf numFmtId="41" fontId="22" fillId="0" borderId="1" xfId="15" applyNumberFormat="1" applyFont="1" applyBorder="1" applyAlignment="1">
      <alignment/>
    </xf>
    <xf numFmtId="41" fontId="22" fillId="0" borderId="2" xfId="15" applyNumberFormat="1" applyFont="1" applyBorder="1" applyAlignment="1">
      <alignment/>
    </xf>
    <xf numFmtId="41" fontId="24" fillId="0" borderId="1" xfId="15" applyNumberFormat="1" applyFont="1" applyBorder="1" applyAlignment="1">
      <alignment/>
    </xf>
    <xf numFmtId="41" fontId="23" fillId="0" borderId="1" xfId="15" applyNumberFormat="1" applyFont="1" applyFill="1" applyBorder="1" applyAlignment="1">
      <alignment/>
    </xf>
    <xf numFmtId="41" fontId="22" fillId="0" borderId="1" xfId="15" applyNumberFormat="1" applyFont="1" applyFill="1" applyBorder="1" applyAlignment="1">
      <alignment/>
    </xf>
    <xf numFmtId="41" fontId="22" fillId="0" borderId="2" xfId="15" applyNumberFormat="1" applyFont="1" applyFill="1" applyBorder="1" applyAlignment="1">
      <alignment/>
    </xf>
    <xf numFmtId="41" fontId="23" fillId="0" borderId="27" xfId="15" applyNumberFormat="1" applyFont="1" applyBorder="1" applyAlignment="1">
      <alignment/>
    </xf>
    <xf numFmtId="41" fontId="23" fillId="0" borderId="32" xfId="15" applyNumberFormat="1" applyFont="1" applyBorder="1" applyAlignment="1">
      <alignment/>
    </xf>
    <xf numFmtId="41" fontId="23" fillId="0" borderId="33" xfId="15" applyNumberFormat="1" applyFont="1" applyBorder="1" applyAlignment="1">
      <alignment/>
    </xf>
    <xf numFmtId="172" fontId="23" fillId="0" borderId="1" xfId="15" applyNumberFormat="1" applyFont="1" applyBorder="1" applyAlignment="1">
      <alignment horizontal="left" wrapText="1"/>
    </xf>
    <xf numFmtId="172" fontId="23" fillId="0" borderId="27" xfId="15" applyNumberFormat="1" applyFont="1" applyBorder="1" applyAlignment="1">
      <alignment wrapText="1"/>
    </xf>
    <xf numFmtId="172" fontId="17" fillId="0" borderId="31" xfId="15" applyNumberFormat="1" applyFont="1" applyBorder="1" applyAlignment="1">
      <alignment wrapText="1"/>
    </xf>
    <xf numFmtId="43" fontId="16" fillId="0" borderId="0" xfId="15" applyFont="1" applyBorder="1" applyAlignment="1">
      <alignment/>
    </xf>
    <xf numFmtId="49" fontId="22" fillId="0" borderId="20" xfId="15" applyNumberFormat="1" applyFont="1" applyBorder="1" applyAlignment="1">
      <alignment/>
    </xf>
    <xf numFmtId="0" fontId="17" fillId="0" borderId="0" xfId="0" applyFont="1" applyBorder="1" applyAlignment="1">
      <alignment/>
    </xf>
    <xf numFmtId="49" fontId="17" fillId="0" borderId="0" xfId="15" applyNumberFormat="1" applyFont="1" applyAlignment="1">
      <alignment/>
    </xf>
    <xf numFmtId="172" fontId="17" fillId="0" borderId="22" xfId="0" applyNumberFormat="1" applyFont="1" applyBorder="1" applyAlignment="1">
      <alignment/>
    </xf>
    <xf numFmtId="172" fontId="16" fillId="2" borderId="29" xfId="15" applyNumberFormat="1" applyFont="1" applyFill="1" applyBorder="1" applyAlignment="1">
      <alignment/>
    </xf>
    <xf numFmtId="3" fontId="17" fillId="0" borderId="0" xfId="0" applyNumberFormat="1" applyFont="1" applyAlignment="1">
      <alignment horizontal="right" wrapText="1"/>
    </xf>
    <xf numFmtId="3" fontId="17" fillId="0" borderId="0" xfId="0" applyNumberFormat="1" applyFont="1" applyAlignment="1">
      <alignment horizontal="right" vertical="top" wrapText="1"/>
    </xf>
    <xf numFmtId="0" fontId="17" fillId="0" borderId="0" xfId="0" applyFont="1" applyAlignment="1">
      <alignment horizontal="right" vertical="top" wrapText="1"/>
    </xf>
    <xf numFmtId="3" fontId="17" fillId="0" borderId="0" xfId="0" applyNumberFormat="1" applyFont="1" applyAlignment="1">
      <alignment/>
    </xf>
    <xf numFmtId="3" fontId="16" fillId="0" borderId="0" xfId="0" applyNumberFormat="1" applyFont="1" applyAlignment="1">
      <alignment/>
    </xf>
    <xf numFmtId="41" fontId="17" fillId="0" borderId="1" xfId="15" applyNumberFormat="1" applyFont="1" applyBorder="1" applyAlignment="1">
      <alignment horizontal="center"/>
    </xf>
    <xf numFmtId="186" fontId="16" fillId="0" borderId="0" xfId="15" applyNumberFormat="1" applyFont="1" applyBorder="1" applyAlignment="1">
      <alignment/>
    </xf>
    <xf numFmtId="3" fontId="16" fillId="0" borderId="0" xfId="15" applyNumberFormat="1" applyFont="1" applyBorder="1" applyAlignment="1">
      <alignment horizontal="right" vertical="center"/>
    </xf>
    <xf numFmtId="172" fontId="16" fillId="0" borderId="20" xfId="15" applyNumberFormat="1" applyFont="1" applyBorder="1" applyAlignment="1">
      <alignment horizontal="right" vertical="center"/>
    </xf>
    <xf numFmtId="172" fontId="23" fillId="0" borderId="2" xfId="15" applyNumberFormat="1" applyFont="1" applyBorder="1" applyAlignment="1">
      <alignment/>
    </xf>
    <xf numFmtId="0" fontId="14" fillId="0" borderId="0" xfId="0" applyFont="1" applyBorder="1" applyAlignment="1">
      <alignment horizontal="center"/>
    </xf>
    <xf numFmtId="172" fontId="17" fillId="0" borderId="0" xfId="15" applyNumberFormat="1" applyFont="1" applyFill="1" applyBorder="1" applyAlignment="1">
      <alignment/>
    </xf>
    <xf numFmtId="172" fontId="17" fillId="0" borderId="34" xfId="15" applyNumberFormat="1" applyFont="1" applyFill="1" applyBorder="1" applyAlignment="1">
      <alignment/>
    </xf>
    <xf numFmtId="172" fontId="17" fillId="0" borderId="1" xfId="15" applyNumberFormat="1" applyFont="1" applyFill="1" applyBorder="1" applyAlignment="1">
      <alignment/>
    </xf>
    <xf numFmtId="172" fontId="14" fillId="0" borderId="0" xfId="0" applyNumberFormat="1" applyFont="1" applyAlignment="1">
      <alignment/>
    </xf>
    <xf numFmtId="0" fontId="19" fillId="0" borderId="0" xfId="0" applyFont="1" applyBorder="1" applyAlignment="1">
      <alignment horizontal="center"/>
    </xf>
    <xf numFmtId="0" fontId="19" fillId="0" borderId="0" xfId="0" applyFont="1" applyBorder="1" applyAlignment="1">
      <alignment/>
    </xf>
    <xf numFmtId="172" fontId="23" fillId="0" borderId="0" xfId="15" applyNumberFormat="1" applyFont="1" applyFill="1" applyBorder="1" applyAlignment="1">
      <alignment/>
    </xf>
    <xf numFmtId="172" fontId="16" fillId="0" borderId="0" xfId="15" applyNumberFormat="1" applyFont="1" applyFill="1" applyBorder="1" applyAlignment="1">
      <alignment/>
    </xf>
    <xf numFmtId="172" fontId="19" fillId="0" borderId="0" xfId="0" applyNumberFormat="1" applyFont="1" applyBorder="1" applyAlignment="1">
      <alignment/>
    </xf>
    <xf numFmtId="172" fontId="19" fillId="0" borderId="0" xfId="15" applyNumberFormat="1" applyFont="1" applyAlignment="1">
      <alignment/>
    </xf>
    <xf numFmtId="0" fontId="30" fillId="0" borderId="0" xfId="0" applyFont="1" applyAlignment="1">
      <alignment/>
    </xf>
    <xf numFmtId="172" fontId="30" fillId="0" borderId="0" xfId="15" applyNumberFormat="1" applyFont="1" applyFill="1" applyAlignment="1">
      <alignment/>
    </xf>
    <xf numFmtId="0" fontId="30" fillId="0" borderId="0" xfId="0" applyFont="1" applyAlignment="1">
      <alignment horizontal="left"/>
    </xf>
    <xf numFmtId="172" fontId="19" fillId="0" borderId="0" xfId="15" applyNumberFormat="1" applyFont="1" applyFill="1" applyAlignment="1">
      <alignment/>
    </xf>
    <xf numFmtId="172" fontId="19" fillId="0" borderId="0" xfId="0" applyNumberFormat="1" applyFont="1" applyAlignment="1">
      <alignment/>
    </xf>
    <xf numFmtId="172" fontId="17" fillId="0" borderId="22" xfId="15" applyNumberFormat="1" applyFont="1" applyBorder="1" applyAlignment="1">
      <alignment/>
    </xf>
    <xf numFmtId="41" fontId="17" fillId="0" borderId="2" xfId="15" applyNumberFormat="1" applyFont="1" applyBorder="1" applyAlignment="1">
      <alignment horizontal="center"/>
    </xf>
    <xf numFmtId="172" fontId="16" fillId="0" borderId="20" xfId="15" applyNumberFormat="1" applyFont="1" applyBorder="1" applyAlignment="1">
      <alignment wrapText="1"/>
    </xf>
    <xf numFmtId="172" fontId="30" fillId="0" borderId="0" xfId="15" applyNumberFormat="1" applyFont="1" applyAlignment="1">
      <alignment/>
    </xf>
    <xf numFmtId="172" fontId="30" fillId="0" borderId="0" xfId="15" applyNumberFormat="1" applyFont="1" applyAlignment="1" quotePrefix="1">
      <alignment/>
    </xf>
    <xf numFmtId="41" fontId="22" fillId="0" borderId="15" xfId="15" applyNumberFormat="1" applyFont="1" applyBorder="1" applyAlignment="1">
      <alignment/>
    </xf>
    <xf numFmtId="38" fontId="22" fillId="0" borderId="35" xfId="15" applyNumberFormat="1" applyFont="1" applyBorder="1" applyAlignment="1">
      <alignment/>
    </xf>
    <xf numFmtId="172" fontId="31" fillId="0" borderId="0" xfId="15" applyNumberFormat="1" applyFont="1" applyBorder="1" applyAlignment="1">
      <alignment/>
    </xf>
    <xf numFmtId="3" fontId="16" fillId="0" borderId="0" xfId="0" applyNumberFormat="1" applyFont="1" applyAlignment="1">
      <alignment horizontal="right" wrapText="1"/>
    </xf>
    <xf numFmtId="0" fontId="17" fillId="0" borderId="36" xfId="0" applyFont="1" applyBorder="1" applyAlignment="1">
      <alignment horizontal="right" vertical="top" wrapText="1"/>
    </xf>
    <xf numFmtId="0" fontId="16" fillId="0" borderId="0" xfId="0" applyFont="1" applyAlignment="1">
      <alignment horizontal="right" wrapText="1"/>
    </xf>
    <xf numFmtId="3" fontId="16" fillId="0" borderId="17" xfId="0" applyNumberFormat="1" applyFont="1" applyBorder="1" applyAlignment="1">
      <alignment horizontal="right" wrapText="1"/>
    </xf>
    <xf numFmtId="49" fontId="16" fillId="0" borderId="0" xfId="15" applyNumberFormat="1" applyFont="1" applyAlignment="1">
      <alignment/>
    </xf>
    <xf numFmtId="0" fontId="16" fillId="0" borderId="0" xfId="0" applyFont="1" applyAlignment="1">
      <alignment/>
    </xf>
    <xf numFmtId="0" fontId="29" fillId="0" borderId="0" xfId="0" applyFont="1" applyAlignment="1">
      <alignment/>
    </xf>
    <xf numFmtId="0" fontId="17" fillId="0" borderId="0" xfId="0" applyFont="1" applyAlignment="1">
      <alignment/>
    </xf>
    <xf numFmtId="49" fontId="16" fillId="0" borderId="0" xfId="15" applyNumberFormat="1" applyFont="1" applyBorder="1" applyAlignment="1">
      <alignment/>
    </xf>
    <xf numFmtId="49" fontId="17" fillId="0" borderId="0" xfId="15" applyNumberFormat="1" applyFont="1" applyBorder="1" applyAlignment="1">
      <alignment/>
    </xf>
    <xf numFmtId="0" fontId="17" fillId="0" borderId="0" xfId="0" applyFont="1" applyBorder="1" applyAlignment="1">
      <alignment horizontal="center"/>
    </xf>
    <xf numFmtId="0" fontId="16" fillId="0" borderId="0" xfId="0" applyFont="1" applyBorder="1" applyAlignment="1">
      <alignment/>
    </xf>
    <xf numFmtId="41" fontId="24" fillId="0" borderId="2" xfId="15" applyNumberFormat="1" applyFont="1" applyBorder="1" applyAlignment="1">
      <alignment/>
    </xf>
    <xf numFmtId="172" fontId="11" fillId="0" borderId="0" xfId="15" applyNumberFormat="1" applyFont="1" applyAlignment="1">
      <alignment horizontal="center" wrapText="1"/>
    </xf>
    <xf numFmtId="172" fontId="4" fillId="0" borderId="0" xfId="15" applyNumberFormat="1" applyFont="1" applyBorder="1" applyAlignment="1">
      <alignment horizontal="left" vertical="center" wrapText="1"/>
    </xf>
    <xf numFmtId="172" fontId="4" fillId="0" borderId="20" xfId="15" applyNumberFormat="1" applyFont="1" applyBorder="1" applyAlignment="1">
      <alignment horizontal="left" vertical="center" wrapText="1"/>
    </xf>
    <xf numFmtId="172" fontId="9" fillId="0" borderId="0" xfId="15" applyNumberFormat="1" applyFont="1" applyAlignment="1">
      <alignment horizontal="center" wrapText="1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172" fontId="0" fillId="0" borderId="20" xfId="15" applyNumberFormat="1" applyFont="1" applyBorder="1" applyAlignment="1">
      <alignment vertical="top" wrapText="1"/>
    </xf>
    <xf numFmtId="172" fontId="8" fillId="0" borderId="0" xfId="15" applyNumberFormat="1" applyFont="1" applyBorder="1" applyAlignment="1">
      <alignment wrapText="1"/>
    </xf>
    <xf numFmtId="38" fontId="4" fillId="0" borderId="39" xfId="0" applyNumberFormat="1" applyFont="1" applyBorder="1" applyAlignment="1">
      <alignment horizontal="center" vertical="center" wrapText="1"/>
    </xf>
    <xf numFmtId="38" fontId="4" fillId="0" borderId="12" xfId="0" applyNumberFormat="1" applyFont="1" applyBorder="1" applyAlignment="1">
      <alignment horizontal="center" vertical="center"/>
    </xf>
    <xf numFmtId="38" fontId="4" fillId="0" borderId="40" xfId="0" applyNumberFormat="1" applyFont="1" applyBorder="1" applyAlignment="1">
      <alignment horizontal="center" vertical="center"/>
    </xf>
    <xf numFmtId="38" fontId="4" fillId="0" borderId="41" xfId="0" applyNumberFormat="1" applyFont="1" applyBorder="1" applyAlignment="1">
      <alignment horizontal="center" vertical="center"/>
    </xf>
    <xf numFmtId="38" fontId="4" fillId="0" borderId="20" xfId="0" applyNumberFormat="1" applyFont="1" applyBorder="1" applyAlignment="1">
      <alignment horizontal="center" vertical="center"/>
    </xf>
    <xf numFmtId="38" fontId="4" fillId="0" borderId="42" xfId="0" applyNumberFormat="1" applyFont="1" applyBorder="1" applyAlignment="1">
      <alignment horizontal="center" vertical="center"/>
    </xf>
    <xf numFmtId="172" fontId="6" fillId="0" borderId="0" xfId="15" applyNumberFormat="1" applyFont="1" applyAlignment="1">
      <alignment horizontal="center" wrapText="1"/>
    </xf>
    <xf numFmtId="172" fontId="10" fillId="0" borderId="0" xfId="15" applyNumberFormat="1" applyFont="1" applyAlignment="1">
      <alignment horizontal="center"/>
    </xf>
    <xf numFmtId="38" fontId="4" fillId="0" borderId="43" xfId="0" applyNumberFormat="1" applyFont="1" applyBorder="1" applyAlignment="1">
      <alignment horizontal="center" vertical="center" wrapText="1"/>
    </xf>
    <xf numFmtId="38" fontId="4" fillId="0" borderId="5" xfId="0" applyNumberFormat="1" applyFont="1" applyBorder="1" applyAlignment="1">
      <alignment horizontal="center" vertical="center"/>
    </xf>
    <xf numFmtId="38" fontId="4" fillId="0" borderId="19" xfId="0" applyNumberFormat="1" applyFont="1" applyBorder="1" applyAlignment="1">
      <alignment horizontal="center" vertical="center" wrapText="1"/>
    </xf>
    <xf numFmtId="38" fontId="4" fillId="0" borderId="4" xfId="0" applyNumberFormat="1" applyFont="1" applyBorder="1" applyAlignment="1">
      <alignment horizontal="center" vertical="center"/>
    </xf>
    <xf numFmtId="172" fontId="9" fillId="0" borderId="0" xfId="15" applyNumberFormat="1" applyFont="1" applyBorder="1" applyAlignment="1">
      <alignment horizontal="center" wrapText="1"/>
    </xf>
    <xf numFmtId="172" fontId="16" fillId="0" borderId="0" xfId="15" applyNumberFormat="1" applyFont="1" applyBorder="1" applyAlignment="1">
      <alignment horizontal="left" wrapText="1"/>
    </xf>
    <xf numFmtId="172" fontId="22" fillId="0" borderId="20" xfId="15" applyNumberFormat="1" applyFont="1" applyBorder="1" applyAlignment="1">
      <alignment horizontal="left" wrapText="1"/>
    </xf>
    <xf numFmtId="172" fontId="21" fillId="0" borderId="20" xfId="15" applyNumberFormat="1" applyFont="1" applyBorder="1" applyAlignment="1">
      <alignment horizontal="left" wrapText="1"/>
    </xf>
    <xf numFmtId="0" fontId="17" fillId="0" borderId="22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7" fillId="0" borderId="22" xfId="0" applyFont="1" applyBorder="1" applyAlignment="1">
      <alignment vertical="center" wrapText="1"/>
    </xf>
    <xf numFmtId="0" fontId="0" fillId="0" borderId="22" xfId="0" applyBorder="1" applyAlignment="1">
      <alignment vertical="center"/>
    </xf>
    <xf numFmtId="0" fontId="15" fillId="0" borderId="0" xfId="0" applyFont="1" applyAlignment="1">
      <alignment horizontal="center"/>
    </xf>
    <xf numFmtId="0" fontId="19" fillId="0" borderId="9" xfId="0" applyFont="1" applyBorder="1" applyAlignment="1">
      <alignment horizontal="center"/>
    </xf>
    <xf numFmtId="0" fontId="16" fillId="0" borderId="9" xfId="0" applyFont="1" applyBorder="1" applyAlignment="1">
      <alignment horizontal="center"/>
    </xf>
    <xf numFmtId="172" fontId="22" fillId="0" borderId="0" xfId="15" applyNumberFormat="1" applyFont="1" applyBorder="1" applyAlignment="1">
      <alignment horizontal="left" wrapText="1"/>
    </xf>
    <xf numFmtId="172" fontId="21" fillId="0" borderId="0" xfId="15" applyNumberFormat="1" applyFont="1" applyBorder="1" applyAlignment="1">
      <alignment horizontal="left" wrapText="1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172" fontId="17" fillId="0" borderId="0" xfId="15" applyNumberFormat="1" applyFont="1" applyAlignment="1">
      <alignment horizontal="center"/>
    </xf>
    <xf numFmtId="0" fontId="16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y%20Documents\Trang\Mau%20bao%20cao\Form%20bao%20cao\BCT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ut toan dieu chinh"/>
      <sheetName val="Can doi ke toan - TRONG"/>
      <sheetName val="Can doi ke toan (2)"/>
      <sheetName val="Bao cao KQKD"/>
      <sheetName val="LCTT"/>
      <sheetName val="LCTT (2)"/>
      <sheetName val="Sheet1"/>
      <sheetName val="C"/>
      <sheetName val="E"/>
      <sheetName val="F"/>
      <sheetName val="G"/>
      <sheetName val="K"/>
      <sheetName val="N"/>
      <sheetName val="Q"/>
      <sheetName val="T"/>
      <sheetName val="UA"/>
      <sheetName val="UB"/>
      <sheetName val="bao cao KQKD - phan 3"/>
      <sheetName val="bao cao KQKD - phan 2"/>
      <sheetName val="Can doi ke toan - ngoai"/>
      <sheetName val="Bao cao luu chuyen tien te"/>
      <sheetName val="XXXXXXXX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4"/>
  <sheetViews>
    <sheetView workbookViewId="0" topLeftCell="A1">
      <selection activeCell="A5" sqref="A5:D5"/>
    </sheetView>
  </sheetViews>
  <sheetFormatPr defaultColWidth="8.796875" defaultRowHeight="15"/>
  <cols>
    <col min="1" max="1" width="43.5" style="0" customWidth="1"/>
    <col min="2" max="2" width="11.09765625" style="45" customWidth="1"/>
    <col min="4" max="4" width="16.09765625" style="0" customWidth="1"/>
    <col min="5" max="6" width="0" style="0" hidden="1" customWidth="1"/>
  </cols>
  <sheetData>
    <row r="1" spans="1:6" ht="17.25">
      <c r="A1" s="10" t="s">
        <v>98</v>
      </c>
      <c r="B1" s="337" t="s">
        <v>10</v>
      </c>
      <c r="C1" s="337"/>
      <c r="D1" s="337"/>
      <c r="E1" s="337"/>
      <c r="F1" s="337"/>
    </row>
    <row r="2" spans="1:6" ht="36" customHeight="1">
      <c r="A2" s="64" t="s">
        <v>101</v>
      </c>
      <c r="B2" s="338"/>
      <c r="C2" s="338"/>
      <c r="D2" s="338"/>
      <c r="E2" s="338"/>
      <c r="F2" s="338"/>
    </row>
    <row r="3" spans="2:6" ht="15">
      <c r="B3" s="4"/>
      <c r="E3" s="18"/>
      <c r="F3" s="18"/>
    </row>
    <row r="4" spans="1:6" ht="21.75">
      <c r="A4" s="339" t="s">
        <v>54</v>
      </c>
      <c r="B4" s="339"/>
      <c r="C4" s="339"/>
      <c r="D4" s="339"/>
      <c r="E4" s="18"/>
      <c r="F4" s="18"/>
    </row>
    <row r="5" spans="1:6" ht="33" customHeight="1">
      <c r="A5" s="336" t="s">
        <v>55</v>
      </c>
      <c r="B5" s="336"/>
      <c r="C5" s="336"/>
      <c r="D5" s="336"/>
      <c r="E5" s="18"/>
      <c r="F5" s="18"/>
    </row>
    <row r="6" ht="15">
      <c r="B6" s="4"/>
    </row>
    <row r="7" spans="2:4" ht="16.5" thickBot="1">
      <c r="B7" s="4"/>
      <c r="D7" s="44" t="s">
        <v>56</v>
      </c>
    </row>
    <row r="8" spans="1:4" ht="16.5" thickTop="1">
      <c r="A8" s="46" t="s">
        <v>100</v>
      </c>
      <c r="B8" s="47"/>
      <c r="C8" s="60" t="s">
        <v>48</v>
      </c>
      <c r="D8" s="48" t="s">
        <v>49</v>
      </c>
    </row>
    <row r="9" spans="1:4" ht="15.75">
      <c r="A9" s="49" t="s">
        <v>50</v>
      </c>
      <c r="B9" s="50"/>
      <c r="C9" s="61"/>
      <c r="D9" s="51"/>
    </row>
    <row r="10" spans="1:4" ht="15">
      <c r="A10" s="52" t="s">
        <v>51</v>
      </c>
      <c r="B10" s="50"/>
      <c r="C10" s="62" t="s">
        <v>58</v>
      </c>
      <c r="D10" s="53">
        <v>0</v>
      </c>
    </row>
    <row r="11" spans="1:4" ht="15">
      <c r="A11" s="52" t="s">
        <v>76</v>
      </c>
      <c r="B11" s="50"/>
      <c r="C11" s="62" t="s">
        <v>28</v>
      </c>
      <c r="D11" s="53">
        <f>6626899270-995032785</f>
        <v>5631866485</v>
      </c>
    </row>
    <row r="12" spans="1:4" ht="45">
      <c r="A12" s="54" t="s">
        <v>77</v>
      </c>
      <c r="B12" s="50"/>
      <c r="C12" s="62" t="s">
        <v>29</v>
      </c>
      <c r="D12" s="53">
        <f>SUM(D14:D17)</f>
        <v>5631866485</v>
      </c>
    </row>
    <row r="13" spans="1:4" ht="15.75">
      <c r="A13" s="55" t="s">
        <v>78</v>
      </c>
      <c r="B13" s="50"/>
      <c r="C13" s="62"/>
      <c r="D13" s="53"/>
    </row>
    <row r="14" spans="1:4" ht="15">
      <c r="A14" s="52" t="s">
        <v>59</v>
      </c>
      <c r="B14" s="50"/>
      <c r="C14" s="62" t="s">
        <v>30</v>
      </c>
      <c r="D14" s="53">
        <f>5347558595-995032785+23524</f>
        <v>4352549334</v>
      </c>
    </row>
    <row r="15" spans="1:4" ht="15">
      <c r="A15" s="52" t="s">
        <v>60</v>
      </c>
      <c r="B15" s="50"/>
      <c r="C15" s="62" t="s">
        <v>31</v>
      </c>
      <c r="D15" s="53">
        <v>0</v>
      </c>
    </row>
    <row r="16" spans="1:4" ht="15">
      <c r="A16" s="52" t="s">
        <v>61</v>
      </c>
      <c r="B16" s="50"/>
      <c r="C16" s="62" t="s">
        <v>32</v>
      </c>
      <c r="D16" s="53">
        <v>0</v>
      </c>
    </row>
    <row r="17" spans="1:4" ht="15">
      <c r="A17" s="52" t="s">
        <v>62</v>
      </c>
      <c r="B17" s="50"/>
      <c r="C17" s="62" t="s">
        <v>33</v>
      </c>
      <c r="D17" s="53">
        <f>1279340675-23524</f>
        <v>1279317151</v>
      </c>
    </row>
    <row r="18" spans="1:4" ht="45">
      <c r="A18" s="54" t="s">
        <v>63</v>
      </c>
      <c r="B18" s="50"/>
      <c r="C18" s="62" t="s">
        <v>34</v>
      </c>
      <c r="D18" s="53">
        <f>D10+D11-D12</f>
        <v>0</v>
      </c>
    </row>
    <row r="19" spans="1:4" ht="15.75" hidden="1">
      <c r="A19" s="56" t="s">
        <v>57</v>
      </c>
      <c r="B19" s="50"/>
      <c r="C19" s="62"/>
      <c r="D19" s="53"/>
    </row>
    <row r="20" spans="1:4" ht="15" hidden="1">
      <c r="A20" s="52" t="s">
        <v>64</v>
      </c>
      <c r="B20" s="50"/>
      <c r="C20" s="62" t="s">
        <v>35</v>
      </c>
      <c r="D20" s="53"/>
    </row>
    <row r="21" spans="1:4" ht="15" hidden="1">
      <c r="A21" s="52" t="s">
        <v>69</v>
      </c>
      <c r="B21" s="50"/>
      <c r="C21" s="62" t="s">
        <v>25</v>
      </c>
      <c r="D21" s="53"/>
    </row>
    <row r="22" spans="1:4" ht="15" hidden="1">
      <c r="A22" s="52" t="s">
        <v>70</v>
      </c>
      <c r="B22" s="50"/>
      <c r="C22" s="62" t="s">
        <v>26</v>
      </c>
      <c r="D22" s="53"/>
    </row>
    <row r="23" spans="1:4" ht="15" hidden="1">
      <c r="A23" s="52" t="s">
        <v>71</v>
      </c>
      <c r="B23" s="50"/>
      <c r="C23" s="62" t="s">
        <v>27</v>
      </c>
      <c r="D23" s="53">
        <f>D20+D21-D22</f>
        <v>0</v>
      </c>
    </row>
    <row r="24" spans="1:4" ht="15.75">
      <c r="A24" s="56" t="s">
        <v>93</v>
      </c>
      <c r="B24" s="50"/>
      <c r="C24" s="62"/>
      <c r="D24" s="53"/>
    </row>
    <row r="25" spans="1:4" ht="15">
      <c r="A25" s="52" t="s">
        <v>65</v>
      </c>
      <c r="B25" s="50"/>
      <c r="C25" s="62" t="s">
        <v>72</v>
      </c>
      <c r="D25" s="53">
        <v>0</v>
      </c>
    </row>
    <row r="26" spans="1:4" ht="15">
      <c r="A26" s="52" t="s">
        <v>66</v>
      </c>
      <c r="B26" s="50"/>
      <c r="C26" s="62" t="s">
        <v>73</v>
      </c>
      <c r="D26" s="53">
        <v>1152364094</v>
      </c>
    </row>
    <row r="27" spans="1:4" ht="15">
      <c r="A27" s="52" t="s">
        <v>67</v>
      </c>
      <c r="B27" s="50"/>
      <c r="C27" s="62" t="s">
        <v>74</v>
      </c>
      <c r="D27" s="53">
        <v>1152364094</v>
      </c>
    </row>
    <row r="28" spans="1:4" ht="15">
      <c r="A28" s="52" t="s">
        <v>68</v>
      </c>
      <c r="B28" s="50"/>
      <c r="C28" s="62" t="s">
        <v>75</v>
      </c>
      <c r="D28" s="53">
        <f>D25+D26-D27</f>
        <v>0</v>
      </c>
    </row>
    <row r="29" spans="1:4" ht="15.75">
      <c r="A29" s="56" t="s">
        <v>94</v>
      </c>
      <c r="B29" s="50"/>
      <c r="C29" s="62"/>
      <c r="D29" s="53"/>
    </row>
    <row r="30" spans="1:4" ht="15">
      <c r="A30" s="52" t="s">
        <v>79</v>
      </c>
      <c r="B30" s="50"/>
      <c r="C30" s="62" t="s">
        <v>86</v>
      </c>
      <c r="D30" s="53">
        <v>890745675</v>
      </c>
    </row>
    <row r="31" spans="1:4" ht="15">
      <c r="A31" s="52" t="s">
        <v>80</v>
      </c>
      <c r="B31" s="50"/>
      <c r="C31" s="62" t="s">
        <v>87</v>
      </c>
      <c r="D31" s="53">
        <f>7375700038-995032785</f>
        <v>6380667253</v>
      </c>
    </row>
    <row r="32" spans="1:4" ht="15">
      <c r="A32" s="52" t="s">
        <v>81</v>
      </c>
      <c r="B32" s="50"/>
      <c r="C32" s="62" t="s">
        <v>88</v>
      </c>
      <c r="D32" s="53">
        <f>D14</f>
        <v>4352549334</v>
      </c>
    </row>
    <row r="33" spans="1:4" ht="15">
      <c r="A33" s="52" t="s">
        <v>82</v>
      </c>
      <c r="B33" s="50"/>
      <c r="C33" s="62" t="s">
        <v>89</v>
      </c>
      <c r="D33" s="53"/>
    </row>
    <row r="34" spans="1:4" ht="15">
      <c r="A34" s="52" t="s">
        <v>83</v>
      </c>
      <c r="B34" s="50"/>
      <c r="C34" s="62" t="s">
        <v>90</v>
      </c>
      <c r="D34" s="53">
        <v>1178178357</v>
      </c>
    </row>
    <row r="35" spans="1:4" ht="15">
      <c r="A35" s="52" t="s">
        <v>84</v>
      </c>
      <c r="B35" s="50"/>
      <c r="C35" s="62" t="s">
        <v>91</v>
      </c>
      <c r="D35" s="53">
        <v>2123408894</v>
      </c>
    </row>
    <row r="36" spans="1:4" ht="45.75" thickBot="1">
      <c r="A36" s="57" t="s">
        <v>85</v>
      </c>
      <c r="B36" s="58"/>
      <c r="C36" s="63" t="s">
        <v>92</v>
      </c>
      <c r="D36" s="59">
        <f>D30+D31-D32-D33-D34-D35</f>
        <v>-382723657</v>
      </c>
    </row>
    <row r="37" ht="15.75" thickTop="1">
      <c r="D37" s="18">
        <v>382723657</v>
      </c>
    </row>
    <row r="38" ht="15">
      <c r="D38" s="18">
        <f>SUM(D36:D37)</f>
        <v>0</v>
      </c>
    </row>
    <row r="39" ht="15">
      <c r="D39" s="18"/>
    </row>
    <row r="40" ht="15">
      <c r="D40" s="18"/>
    </row>
    <row r="41" ht="15">
      <c r="D41" s="18"/>
    </row>
    <row r="42" ht="15">
      <c r="D42" s="18"/>
    </row>
    <row r="43" ht="15">
      <c r="D43" s="18"/>
    </row>
    <row r="44" ht="15">
      <c r="D44" s="18"/>
    </row>
  </sheetData>
  <mergeCells count="3">
    <mergeCell ref="A5:D5"/>
    <mergeCell ref="B1:F2"/>
    <mergeCell ref="A4:D4"/>
  </mergeCells>
  <printOptions/>
  <pageMargins left="0.64" right="0.41" top="0.58" bottom="0.58" header="0.34" footer="0.3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8"/>
  <sheetViews>
    <sheetView workbookViewId="0" topLeftCell="A1">
      <selection activeCell="D3" sqref="D3"/>
    </sheetView>
  </sheetViews>
  <sheetFormatPr defaultColWidth="8.796875" defaultRowHeight="15"/>
  <cols>
    <col min="1" max="1" width="5" style="0" customWidth="1"/>
    <col min="2" max="2" width="24.09765625" style="0" customWidth="1"/>
    <col min="3" max="3" width="14.5" style="0" customWidth="1"/>
    <col min="4" max="4" width="14.09765625" style="0" customWidth="1"/>
    <col min="5" max="5" width="0.203125" style="0" hidden="1" customWidth="1"/>
    <col min="6" max="6" width="0.1015625" style="0" hidden="1" customWidth="1"/>
    <col min="7" max="7" width="14.19921875" style="18" customWidth="1"/>
    <col min="8" max="8" width="14" style="18" customWidth="1"/>
  </cols>
  <sheetData>
    <row r="1" spans="2:8" ht="19.5" customHeight="1">
      <c r="B1" s="345" t="s">
        <v>98</v>
      </c>
      <c r="C1" s="345"/>
      <c r="D1" s="337" t="s">
        <v>10</v>
      </c>
      <c r="E1" s="337"/>
      <c r="F1" s="337"/>
      <c r="G1" s="337"/>
      <c r="H1" s="337"/>
    </row>
    <row r="2" spans="2:8" ht="34.5" customHeight="1">
      <c r="B2" s="344" t="s">
        <v>102</v>
      </c>
      <c r="C2" s="344"/>
      <c r="D2" s="338"/>
      <c r="E2" s="338"/>
      <c r="F2" s="338"/>
      <c r="G2" s="338"/>
      <c r="H2" s="338"/>
    </row>
    <row r="4" ht="20.25">
      <c r="B4" s="13" t="s">
        <v>24</v>
      </c>
    </row>
    <row r="5" ht="15">
      <c r="B5" s="17" t="s">
        <v>11</v>
      </c>
    </row>
    <row r="6" spans="2:8" ht="20.25">
      <c r="B6" s="352" t="s">
        <v>52</v>
      </c>
      <c r="C6" s="352"/>
      <c r="D6" s="352"/>
      <c r="E6" s="352"/>
      <c r="F6" s="352"/>
      <c r="G6" s="352"/>
      <c r="H6" s="352"/>
    </row>
    <row r="7" spans="2:8" ht="22.5" customHeight="1">
      <c r="B7" s="353" t="s">
        <v>53</v>
      </c>
      <c r="C7" s="353"/>
      <c r="D7" s="353"/>
      <c r="E7" s="353"/>
      <c r="F7" s="353"/>
      <c r="G7" s="353"/>
      <c r="H7" s="353"/>
    </row>
    <row r="9" spans="3:6" ht="15.75" thickBot="1">
      <c r="C9" s="18"/>
      <c r="D9" s="18"/>
      <c r="E9" s="18"/>
      <c r="F9" s="18"/>
    </row>
    <row r="10" spans="1:8" ht="16.5" customHeight="1" thickTop="1">
      <c r="A10" s="340" t="s">
        <v>14</v>
      </c>
      <c r="B10" s="342" t="s">
        <v>0</v>
      </c>
      <c r="C10" s="356" t="s">
        <v>46</v>
      </c>
      <c r="D10" s="346" t="s">
        <v>23</v>
      </c>
      <c r="E10" s="347"/>
      <c r="F10" s="348"/>
      <c r="G10" s="356" t="s">
        <v>23</v>
      </c>
      <c r="H10" s="354" t="s">
        <v>22</v>
      </c>
    </row>
    <row r="11" spans="1:8" ht="15.75" customHeight="1">
      <c r="A11" s="341"/>
      <c r="B11" s="343"/>
      <c r="C11" s="357"/>
      <c r="D11" s="349"/>
      <c r="E11" s="350"/>
      <c r="F11" s="351"/>
      <c r="G11" s="357"/>
      <c r="H11" s="355"/>
    </row>
    <row r="12" spans="1:8" ht="26.25" customHeight="1">
      <c r="A12" s="23">
        <v>1</v>
      </c>
      <c r="B12" s="20" t="s">
        <v>15</v>
      </c>
      <c r="C12" s="21">
        <v>1644656368</v>
      </c>
      <c r="D12" s="21">
        <v>456847622</v>
      </c>
      <c r="E12" s="65"/>
      <c r="F12" s="65"/>
      <c r="G12" s="21">
        <v>0</v>
      </c>
      <c r="H12" s="22">
        <f aca="true" t="shared" si="0" ref="H12:H19">C12+D12-G12</f>
        <v>2101503990</v>
      </c>
    </row>
    <row r="13" spans="1:8" ht="26.25" customHeight="1">
      <c r="A13" s="23">
        <v>2</v>
      </c>
      <c r="B13" s="20" t="s">
        <v>16</v>
      </c>
      <c r="C13" s="21">
        <v>116404397</v>
      </c>
      <c r="D13" s="21">
        <v>1999924258</v>
      </c>
      <c r="E13" s="21"/>
      <c r="F13" s="21"/>
      <c r="G13" s="21">
        <v>1755289002</v>
      </c>
      <c r="H13" s="22">
        <f t="shared" si="0"/>
        <v>361039653</v>
      </c>
    </row>
    <row r="14" spans="1:8" ht="26.25" customHeight="1">
      <c r="A14" s="23">
        <v>4</v>
      </c>
      <c r="B14" s="20" t="s">
        <v>19</v>
      </c>
      <c r="C14" s="21">
        <v>1047600516</v>
      </c>
      <c r="D14" s="21">
        <v>465773154</v>
      </c>
      <c r="E14" s="21"/>
      <c r="F14" s="21"/>
      <c r="G14" s="21">
        <v>147878249</v>
      </c>
      <c r="H14" s="22">
        <f t="shared" si="0"/>
        <v>1365495421</v>
      </c>
    </row>
    <row r="15" spans="1:8" ht="26.25" customHeight="1">
      <c r="A15" s="23">
        <v>5</v>
      </c>
      <c r="B15" s="20" t="s">
        <v>47</v>
      </c>
      <c r="C15" s="21">
        <v>111178660</v>
      </c>
      <c r="D15" s="21">
        <v>116204355</v>
      </c>
      <c r="E15" s="21"/>
      <c r="F15" s="21"/>
      <c r="G15" s="21">
        <v>83752005</v>
      </c>
      <c r="H15" s="22">
        <f t="shared" si="0"/>
        <v>143631010</v>
      </c>
    </row>
    <row r="16" spans="1:8" ht="26.25" customHeight="1">
      <c r="A16" s="23">
        <v>6</v>
      </c>
      <c r="B16" s="20" t="s">
        <v>17</v>
      </c>
      <c r="C16" s="21">
        <v>0</v>
      </c>
      <c r="D16" s="21">
        <f>SUM(E16:F16)</f>
        <v>0</v>
      </c>
      <c r="E16" s="21"/>
      <c r="F16" s="21"/>
      <c r="G16" s="21"/>
      <c r="H16" s="22">
        <f t="shared" si="0"/>
        <v>0</v>
      </c>
    </row>
    <row r="17" spans="1:8" ht="26.25" customHeight="1">
      <c r="A17" s="23">
        <v>7</v>
      </c>
      <c r="B17" s="20" t="s">
        <v>20</v>
      </c>
      <c r="C17" s="21">
        <v>0</v>
      </c>
      <c r="D17" s="21">
        <v>10920500</v>
      </c>
      <c r="E17" s="21"/>
      <c r="F17" s="21"/>
      <c r="G17" s="21">
        <v>10920500</v>
      </c>
      <c r="H17" s="22">
        <f t="shared" si="0"/>
        <v>0</v>
      </c>
    </row>
    <row r="18" spans="1:8" ht="26.25" customHeight="1">
      <c r="A18" s="23">
        <v>8</v>
      </c>
      <c r="B18" s="20" t="s">
        <v>18</v>
      </c>
      <c r="C18" s="21">
        <v>0</v>
      </c>
      <c r="D18" s="21">
        <v>850000</v>
      </c>
      <c r="E18" s="21"/>
      <c r="F18" s="21"/>
      <c r="G18" s="21">
        <v>850000</v>
      </c>
      <c r="H18" s="22">
        <f t="shared" si="0"/>
        <v>0</v>
      </c>
    </row>
    <row r="19" spans="1:8" ht="26.25" customHeight="1">
      <c r="A19" s="23">
        <v>9</v>
      </c>
      <c r="B19" s="24" t="s">
        <v>99</v>
      </c>
      <c r="C19" s="25">
        <v>2241696</v>
      </c>
      <c r="D19" s="25">
        <f>SUM(E19:F19)</f>
        <v>0</v>
      </c>
      <c r="E19" s="21"/>
      <c r="F19" s="21"/>
      <c r="G19" s="25">
        <v>0</v>
      </c>
      <c r="H19" s="26">
        <f t="shared" si="0"/>
        <v>2241696</v>
      </c>
    </row>
    <row r="20" spans="1:9" s="19" customFormat="1" ht="26.25" customHeight="1" thickBot="1">
      <c r="A20" s="27" t="s">
        <v>9</v>
      </c>
      <c r="B20" s="28" t="s">
        <v>21</v>
      </c>
      <c r="C20" s="29">
        <f aca="true" t="shared" si="1" ref="C20:H20">SUM(C12:C19)</f>
        <v>2922081637</v>
      </c>
      <c r="D20" s="29">
        <f t="shared" si="1"/>
        <v>3050519889</v>
      </c>
      <c r="E20" s="29"/>
      <c r="F20" s="29"/>
      <c r="G20" s="29">
        <f>SUM(G12:G19)</f>
        <v>1998689756</v>
      </c>
      <c r="H20" s="30">
        <f t="shared" si="1"/>
        <v>3973911770</v>
      </c>
      <c r="I20" s="34"/>
    </row>
    <row r="21" spans="3:6" ht="15.75" thickTop="1">
      <c r="C21" s="18"/>
      <c r="D21" s="18"/>
      <c r="E21" s="18"/>
      <c r="F21" s="18"/>
    </row>
    <row r="22" spans="2:8" ht="16.5">
      <c r="B22" s="43"/>
      <c r="C22" s="3"/>
      <c r="D22" s="2"/>
      <c r="E22" s="2"/>
      <c r="G22" s="16"/>
      <c r="H22" s="1"/>
    </row>
    <row r="23" spans="2:8" ht="15">
      <c r="B23" s="6"/>
      <c r="C23" s="3"/>
      <c r="D23" s="2"/>
      <c r="E23" s="2"/>
      <c r="G23" s="11"/>
      <c r="H23" s="1"/>
    </row>
    <row r="24" spans="2:8" ht="15">
      <c r="B24" s="6"/>
      <c r="C24" s="3"/>
      <c r="D24" s="2"/>
      <c r="E24" s="2"/>
      <c r="G24" s="11"/>
      <c r="H24" s="1"/>
    </row>
    <row r="25" spans="2:8" ht="15">
      <c r="B25" s="6"/>
      <c r="C25" s="3"/>
      <c r="D25" s="2"/>
      <c r="E25" s="2"/>
      <c r="G25" s="11"/>
      <c r="H25" s="1"/>
    </row>
    <row r="26" spans="2:8" ht="15">
      <c r="B26" s="8"/>
      <c r="C26" s="3"/>
      <c r="D26" s="2"/>
      <c r="E26" s="2"/>
      <c r="G26" s="12"/>
      <c r="H26" s="1"/>
    </row>
    <row r="27" spans="2:8" ht="15">
      <c r="B27" s="8"/>
      <c r="C27" s="3"/>
      <c r="D27" s="2"/>
      <c r="E27" s="2"/>
      <c r="G27" s="12"/>
      <c r="H27" s="1"/>
    </row>
    <row r="28" spans="2:8" ht="16.5">
      <c r="B28" s="14"/>
      <c r="C28" s="3"/>
      <c r="D28" s="2"/>
      <c r="E28" s="2"/>
      <c r="G28" s="16"/>
      <c r="H28" s="1"/>
    </row>
  </sheetData>
  <mergeCells count="11">
    <mergeCell ref="D1:H2"/>
    <mergeCell ref="D10:F11"/>
    <mergeCell ref="B6:H6"/>
    <mergeCell ref="B7:H7"/>
    <mergeCell ref="H10:H11"/>
    <mergeCell ref="G10:G11"/>
    <mergeCell ref="C10:C11"/>
    <mergeCell ref="A10:A11"/>
    <mergeCell ref="B10:B11"/>
    <mergeCell ref="B2:C2"/>
    <mergeCell ref="B1:C1"/>
  </mergeCells>
  <printOptions horizontalCentered="1"/>
  <pageMargins left="0.66" right="0.27" top="0.71" bottom="0.51" header="0.3" footer="0.27"/>
  <pageSetup horizontalDpi="600" verticalDpi="600" orientation="portrait" paperSize="9" r:id="rId1"/>
  <headerFooter alignWithMargins="0">
    <oddFooter>&amp;R&amp;P+6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K24"/>
  <sheetViews>
    <sheetView workbookViewId="0" topLeftCell="A41">
      <selection activeCell="A61" sqref="A61"/>
    </sheetView>
  </sheetViews>
  <sheetFormatPr defaultColWidth="8.796875" defaultRowHeight="15"/>
  <cols>
    <col min="1" max="1" width="44.69921875" style="0" customWidth="1"/>
    <col min="2" max="2" width="16.69921875" style="0" customWidth="1"/>
    <col min="3" max="3" width="18.59765625" style="0" customWidth="1"/>
  </cols>
  <sheetData>
    <row r="2" spans="1:3" ht="15">
      <c r="A2" s="8"/>
      <c r="B2" s="5"/>
      <c r="C2" s="5"/>
    </row>
    <row r="3" spans="1:3" ht="21.75">
      <c r="A3" s="358" t="s">
        <v>45</v>
      </c>
      <c r="B3" s="358"/>
      <c r="C3" s="358"/>
    </row>
    <row r="4" spans="1:3" ht="15">
      <c r="A4" s="8"/>
      <c r="B4" s="5"/>
      <c r="C4" s="5"/>
    </row>
    <row r="5" spans="1:3" ht="15">
      <c r="A5" s="8"/>
      <c r="B5" s="5"/>
      <c r="C5" s="5"/>
    </row>
    <row r="6" spans="1:3" s="19" customFormat="1" ht="21" customHeight="1">
      <c r="A6" s="35" t="s">
        <v>0</v>
      </c>
      <c r="B6" s="36" t="s">
        <v>36</v>
      </c>
      <c r="C6" s="36" t="s">
        <v>37</v>
      </c>
    </row>
    <row r="7" spans="1:3" s="19" customFormat="1" ht="32.25" customHeight="1">
      <c r="A7" s="37" t="s">
        <v>38</v>
      </c>
      <c r="B7" s="38"/>
      <c r="C7" s="38"/>
    </row>
    <row r="8" spans="1:3" s="19" customFormat="1" ht="32.25" customHeight="1">
      <c r="A8" s="39" t="s">
        <v>39</v>
      </c>
      <c r="B8" s="40"/>
      <c r="C8" s="40"/>
    </row>
    <row r="9" spans="1:3" s="19" customFormat="1" ht="32.25" customHeight="1">
      <c r="A9" s="39" t="s">
        <v>40</v>
      </c>
      <c r="B9" s="40"/>
      <c r="C9" s="40"/>
    </row>
    <row r="10" spans="1:3" s="19" customFormat="1" ht="32.25" customHeight="1">
      <c r="A10" s="39" t="s">
        <v>41</v>
      </c>
      <c r="B10" s="40"/>
      <c r="C10" s="40"/>
    </row>
    <row r="11" spans="1:3" s="19" customFormat="1" ht="32.25" customHeight="1">
      <c r="A11" s="39" t="s">
        <v>42</v>
      </c>
      <c r="B11" s="40"/>
      <c r="C11" s="40"/>
    </row>
    <row r="12" spans="1:3" s="19" customFormat="1" ht="32.25" customHeight="1">
      <c r="A12" s="39" t="s">
        <v>43</v>
      </c>
      <c r="B12" s="40"/>
      <c r="C12" s="40"/>
    </row>
    <row r="13" spans="1:3" s="19" customFormat="1" ht="32.25" customHeight="1">
      <c r="A13" s="41" t="s">
        <v>44</v>
      </c>
      <c r="B13" s="42"/>
      <c r="C13" s="42"/>
    </row>
    <row r="14" spans="1:3" ht="15">
      <c r="A14" s="8"/>
      <c r="B14" s="5"/>
      <c r="C14" s="5"/>
    </row>
    <row r="15" spans="1:3" ht="15">
      <c r="A15" s="8"/>
      <c r="B15" s="5" t="s">
        <v>95</v>
      </c>
      <c r="C15" s="5"/>
    </row>
    <row r="16" spans="1:3" ht="9.75" customHeight="1">
      <c r="A16" s="8"/>
      <c r="C16" s="5"/>
    </row>
    <row r="17" spans="1:11" ht="16.5">
      <c r="A17" s="14" t="s">
        <v>12</v>
      </c>
      <c r="B17" s="15"/>
      <c r="C17" s="16" t="s">
        <v>13</v>
      </c>
      <c r="D17" s="32"/>
      <c r="E17" s="16"/>
      <c r="F17" s="16"/>
      <c r="H17" s="11"/>
      <c r="I17" s="11"/>
      <c r="J17" s="11"/>
      <c r="K17" s="12"/>
    </row>
    <row r="18" spans="1:11" ht="15">
      <c r="A18" s="6"/>
      <c r="B18" s="7"/>
      <c r="C18" s="11"/>
      <c r="D18" s="31"/>
      <c r="E18" s="11"/>
      <c r="F18" s="11"/>
      <c r="H18" s="11"/>
      <c r="I18" s="11"/>
      <c r="J18" s="11"/>
      <c r="K18" s="12"/>
    </row>
    <row r="19" spans="1:11" ht="15">
      <c r="A19" s="6"/>
      <c r="B19" s="7"/>
      <c r="C19" s="11"/>
      <c r="D19" s="31"/>
      <c r="E19" s="11"/>
      <c r="F19" s="11"/>
      <c r="H19" s="11"/>
      <c r="I19" s="11"/>
      <c r="J19" s="11"/>
      <c r="K19" s="12"/>
    </row>
    <row r="20" spans="1:11" ht="15">
      <c r="A20" s="8"/>
      <c r="B20" s="9"/>
      <c r="C20" s="12"/>
      <c r="D20" s="33"/>
      <c r="E20" s="12"/>
      <c r="F20" s="12"/>
      <c r="H20" s="12"/>
      <c r="I20" s="12"/>
      <c r="J20" s="12"/>
      <c r="K20" s="12"/>
    </row>
    <row r="21" spans="1:11" ht="15">
      <c r="A21" s="8"/>
      <c r="B21" s="9"/>
      <c r="C21" s="12"/>
      <c r="D21" s="33"/>
      <c r="E21" s="12"/>
      <c r="F21" s="12"/>
      <c r="H21" s="12"/>
      <c r="I21" s="12"/>
      <c r="J21" s="12"/>
      <c r="K21" s="12"/>
    </row>
    <row r="22" spans="1:11" ht="15">
      <c r="A22" s="8"/>
      <c r="B22" s="9"/>
      <c r="C22" s="12"/>
      <c r="D22" s="33"/>
      <c r="E22" s="12"/>
      <c r="F22" s="12"/>
      <c r="H22" s="12"/>
      <c r="I22" s="12"/>
      <c r="J22" s="12"/>
      <c r="K22" s="12"/>
    </row>
    <row r="23" spans="1:11" ht="16.5">
      <c r="A23" s="14" t="s">
        <v>96</v>
      </c>
      <c r="B23" s="15"/>
      <c r="C23" s="16" t="s">
        <v>97</v>
      </c>
      <c r="D23" s="32"/>
      <c r="E23" s="16"/>
      <c r="F23" s="16"/>
      <c r="H23" s="12"/>
      <c r="I23" s="12"/>
      <c r="J23" s="12"/>
      <c r="K23" s="12"/>
    </row>
    <row r="24" spans="1:11" ht="15">
      <c r="A24" s="8"/>
      <c r="B24" s="9"/>
      <c r="C24" s="12"/>
      <c r="D24" s="33"/>
      <c r="E24" s="12"/>
      <c r="F24" s="12"/>
      <c r="H24" s="12"/>
      <c r="I24" s="12"/>
      <c r="J24" s="12"/>
      <c r="K24" s="12"/>
    </row>
  </sheetData>
  <mergeCells count="1">
    <mergeCell ref="A3:C3"/>
  </mergeCells>
  <printOptions/>
  <pageMargins left="0.75" right="0.75" top="0.8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120"/>
  <sheetViews>
    <sheetView tabSelected="1" workbookViewId="0" topLeftCell="A25">
      <selection activeCell="B48" sqref="B48"/>
    </sheetView>
  </sheetViews>
  <sheetFormatPr defaultColWidth="8.796875" defaultRowHeight="15"/>
  <cols>
    <col min="1" max="1" width="4.59765625" style="66" customWidth="1"/>
    <col min="2" max="2" width="57.3984375" style="66" customWidth="1"/>
    <col min="3" max="4" width="7" style="66" bestFit="1" customWidth="1"/>
    <col min="5" max="5" width="13.59765625" style="67" customWidth="1"/>
    <col min="6" max="7" width="13.69921875" style="66" bestFit="1" customWidth="1"/>
    <col min="8" max="8" width="15.19921875" style="66" customWidth="1"/>
    <col min="9" max="9" width="12.09765625" style="66" bestFit="1" customWidth="1"/>
    <col min="10" max="11" width="9" style="66" customWidth="1"/>
    <col min="12" max="12" width="36.19921875" style="66" customWidth="1"/>
    <col min="13" max="13" width="5.09765625" style="66" customWidth="1"/>
    <col min="14" max="14" width="4.5" style="66" customWidth="1"/>
    <col min="15" max="16" width="12.59765625" style="66" customWidth="1"/>
    <col min="17" max="17" width="13.59765625" style="66" customWidth="1"/>
    <col min="18" max="18" width="16.3984375" style="66" customWidth="1"/>
    <col min="19" max="16384" width="9" style="66" customWidth="1"/>
  </cols>
  <sheetData>
    <row r="1" spans="1:4" ht="15.75" customHeight="1">
      <c r="A1" s="359" t="s">
        <v>380</v>
      </c>
      <c r="B1" s="359"/>
      <c r="C1" s="359"/>
      <c r="D1" s="359"/>
    </row>
    <row r="2" spans="1:4" ht="15.75" customHeight="1">
      <c r="A2" s="359" t="s">
        <v>403</v>
      </c>
      <c r="B2" s="359"/>
      <c r="C2" s="112"/>
      <c r="D2" s="112"/>
    </row>
    <row r="3" spans="1:9" ht="15.75" customHeight="1">
      <c r="A3" s="360" t="s">
        <v>404</v>
      </c>
      <c r="B3" s="361"/>
      <c r="C3" s="317"/>
      <c r="D3" s="317"/>
      <c r="E3" s="158"/>
      <c r="F3" s="157"/>
      <c r="G3" s="157"/>
      <c r="H3" s="157"/>
      <c r="I3" s="157"/>
    </row>
    <row r="4" spans="1:9" ht="15.75">
      <c r="A4" s="156"/>
      <c r="B4" s="156"/>
      <c r="C4" s="159"/>
      <c r="D4" s="159"/>
      <c r="E4" s="160"/>
      <c r="F4" s="159"/>
      <c r="G4" s="159"/>
      <c r="H4" s="159"/>
      <c r="I4" s="159"/>
    </row>
    <row r="5" spans="1:6" ht="23.25" customHeight="1">
      <c r="A5" s="366" t="s">
        <v>323</v>
      </c>
      <c r="B5" s="366"/>
      <c r="C5" s="366"/>
      <c r="D5" s="366"/>
      <c r="E5" s="366"/>
      <c r="F5" s="366"/>
    </row>
    <row r="7" spans="1:9" ht="15.75">
      <c r="A7" s="68"/>
      <c r="B7" s="68" t="s">
        <v>104</v>
      </c>
      <c r="C7" s="68" t="s">
        <v>105</v>
      </c>
      <c r="D7" s="68" t="s">
        <v>106</v>
      </c>
      <c r="E7" s="69" t="s">
        <v>107</v>
      </c>
      <c r="F7" s="368" t="s">
        <v>108</v>
      </c>
      <c r="G7" s="368"/>
      <c r="H7" s="367" t="s">
        <v>111</v>
      </c>
      <c r="I7" s="367"/>
    </row>
    <row r="8" spans="1:9" ht="15.75">
      <c r="A8" s="70"/>
      <c r="B8" s="70"/>
      <c r="C8" s="70"/>
      <c r="D8" s="70"/>
      <c r="E8" s="71"/>
      <c r="F8" s="89" t="s">
        <v>109</v>
      </c>
      <c r="G8" s="89" t="s">
        <v>110</v>
      </c>
      <c r="H8" s="89" t="s">
        <v>109</v>
      </c>
      <c r="I8" s="89" t="s">
        <v>110</v>
      </c>
    </row>
    <row r="9" spans="1:9" ht="15.75">
      <c r="A9" s="163">
        <v>1</v>
      </c>
      <c r="B9" s="161" t="s">
        <v>369</v>
      </c>
      <c r="C9" s="73">
        <v>2141</v>
      </c>
      <c r="D9" s="73">
        <v>2143</v>
      </c>
      <c r="E9" s="162">
        <v>1881720</v>
      </c>
      <c r="F9" s="162">
        <v>1881720</v>
      </c>
      <c r="G9" s="162">
        <v>1881720</v>
      </c>
      <c r="H9" s="75"/>
      <c r="I9" s="75"/>
    </row>
    <row r="10" spans="1:9" ht="15.75">
      <c r="A10" s="72">
        <v>2</v>
      </c>
      <c r="B10" s="164" t="s">
        <v>376</v>
      </c>
      <c r="C10" s="73">
        <v>632</v>
      </c>
      <c r="D10" s="73">
        <v>241</v>
      </c>
      <c r="E10" s="162">
        <v>37370176</v>
      </c>
      <c r="F10" s="162"/>
      <c r="G10" s="162">
        <v>37370176</v>
      </c>
      <c r="H10" s="162">
        <v>37370176</v>
      </c>
      <c r="I10" s="74"/>
    </row>
    <row r="11" spans="1:9" ht="15.75">
      <c r="A11" s="72">
        <v>3</v>
      </c>
      <c r="B11" s="161" t="s">
        <v>370</v>
      </c>
      <c r="C11" s="73">
        <v>153</v>
      </c>
      <c r="D11" s="73">
        <v>152</v>
      </c>
      <c r="E11" s="162">
        <v>31976000</v>
      </c>
      <c r="F11" s="162">
        <v>31976000</v>
      </c>
      <c r="G11" s="162">
        <v>31976000</v>
      </c>
      <c r="H11" s="74"/>
      <c r="I11" s="74"/>
    </row>
    <row r="12" spans="1:9" ht="15.75">
      <c r="A12" s="72">
        <v>4</v>
      </c>
      <c r="B12" s="161" t="s">
        <v>371</v>
      </c>
      <c r="C12" s="73">
        <v>154</v>
      </c>
      <c r="D12" s="73">
        <v>155</v>
      </c>
      <c r="E12" s="162">
        <v>901648</v>
      </c>
      <c r="F12" s="162">
        <v>901648</v>
      </c>
      <c r="G12" s="162">
        <v>901648</v>
      </c>
      <c r="H12" s="74"/>
      <c r="I12" s="74"/>
    </row>
    <row r="13" spans="1:9" ht="15.75">
      <c r="A13" s="72"/>
      <c r="B13" s="165"/>
      <c r="C13" s="73">
        <v>154</v>
      </c>
      <c r="D13" s="73">
        <v>632</v>
      </c>
      <c r="E13" s="162">
        <v>67529223</v>
      </c>
      <c r="F13" s="162">
        <v>67529223</v>
      </c>
      <c r="G13" s="74"/>
      <c r="H13" s="74"/>
      <c r="I13" s="162">
        <v>67529223</v>
      </c>
    </row>
    <row r="14" spans="1:9" ht="15.75">
      <c r="A14" s="72">
        <v>5</v>
      </c>
      <c r="B14" s="164" t="s">
        <v>372</v>
      </c>
      <c r="C14" s="73">
        <v>138</v>
      </c>
      <c r="D14" s="73">
        <v>136</v>
      </c>
      <c r="E14" s="162">
        <v>1039268059</v>
      </c>
      <c r="F14" s="162">
        <v>1039268059</v>
      </c>
      <c r="G14" s="162">
        <v>1039268059</v>
      </c>
      <c r="H14" s="74"/>
      <c r="I14" s="74"/>
    </row>
    <row r="15" spans="1:9" ht="15.75">
      <c r="A15" s="72">
        <v>6</v>
      </c>
      <c r="B15" s="161" t="s">
        <v>373</v>
      </c>
      <c r="C15" s="73">
        <v>138</v>
      </c>
      <c r="D15" s="73">
        <v>338</v>
      </c>
      <c r="E15" s="162">
        <v>46587500</v>
      </c>
      <c r="F15" s="162">
        <v>46587500</v>
      </c>
      <c r="G15" s="162">
        <v>46587500</v>
      </c>
      <c r="H15" s="74"/>
      <c r="I15" s="74"/>
    </row>
    <row r="16" spans="1:9" ht="15.75">
      <c r="A16" s="72">
        <v>7</v>
      </c>
      <c r="B16" s="161" t="s">
        <v>374</v>
      </c>
      <c r="C16" s="73">
        <v>242</v>
      </c>
      <c r="D16" s="73">
        <v>632</v>
      </c>
      <c r="E16" s="162">
        <v>56481454</v>
      </c>
      <c r="F16" s="162">
        <v>56481454</v>
      </c>
      <c r="G16" s="74"/>
      <c r="H16" s="87"/>
      <c r="I16" s="162">
        <v>56481454</v>
      </c>
    </row>
    <row r="17" spans="1:9" ht="19.5" customHeight="1">
      <c r="A17" s="362"/>
      <c r="B17" s="364"/>
      <c r="C17" s="73">
        <v>242</v>
      </c>
      <c r="D17" s="73">
        <v>641</v>
      </c>
      <c r="E17" s="162">
        <v>17801667</v>
      </c>
      <c r="F17" s="162">
        <v>17801667</v>
      </c>
      <c r="G17" s="73"/>
      <c r="H17" s="287"/>
      <c r="I17" s="162">
        <v>17801667</v>
      </c>
    </row>
    <row r="18" spans="1:9" ht="15.75">
      <c r="A18" s="363"/>
      <c r="B18" s="365"/>
      <c r="C18" s="73">
        <v>242</v>
      </c>
      <c r="D18" s="73">
        <v>642</v>
      </c>
      <c r="E18" s="162">
        <v>121933967</v>
      </c>
      <c r="F18" s="162">
        <v>121933967</v>
      </c>
      <c r="G18" s="73"/>
      <c r="H18" s="287"/>
      <c r="I18" s="162">
        <v>121933967</v>
      </c>
    </row>
    <row r="19" spans="1:9" ht="15.75">
      <c r="A19" s="72"/>
      <c r="B19" s="73"/>
      <c r="C19" s="73">
        <v>242</v>
      </c>
      <c r="D19" s="73">
        <v>142</v>
      </c>
      <c r="E19" s="162">
        <v>1028047008</v>
      </c>
      <c r="F19" s="162">
        <v>1028047008</v>
      </c>
      <c r="G19" s="168">
        <v>1028047008</v>
      </c>
      <c r="H19" s="287"/>
      <c r="I19" s="73"/>
    </row>
    <row r="20" spans="1:9" ht="15.75">
      <c r="A20" s="72"/>
      <c r="B20" s="73"/>
      <c r="C20" s="73"/>
      <c r="D20" s="73"/>
      <c r="E20" s="162"/>
      <c r="F20" s="162"/>
      <c r="G20" s="168"/>
      <c r="H20" s="287"/>
      <c r="I20" s="167"/>
    </row>
    <row r="21" spans="1:9" ht="15.75">
      <c r="A21" s="72">
        <v>8</v>
      </c>
      <c r="B21" s="73" t="s">
        <v>424</v>
      </c>
      <c r="C21" s="73">
        <v>642</v>
      </c>
      <c r="D21" s="73">
        <v>336</v>
      </c>
      <c r="E21" s="162">
        <v>-190000</v>
      </c>
      <c r="F21" s="162">
        <v>-190000</v>
      </c>
      <c r="G21" s="73"/>
      <c r="H21" s="73"/>
      <c r="I21" s="162">
        <v>-190000</v>
      </c>
    </row>
    <row r="22" spans="1:9" ht="15.75">
      <c r="A22" s="72">
        <v>9</v>
      </c>
      <c r="B22" s="73" t="s">
        <v>402</v>
      </c>
      <c r="C22" s="73">
        <v>421</v>
      </c>
      <c r="D22" s="73">
        <v>333</v>
      </c>
      <c r="E22" s="162">
        <v>63438518</v>
      </c>
      <c r="F22" s="162">
        <v>63438518</v>
      </c>
      <c r="G22" s="315">
        <v>63438518</v>
      </c>
      <c r="H22" s="73"/>
      <c r="I22" s="168"/>
    </row>
    <row r="23" spans="1:9" ht="15.75">
      <c r="A23" s="72"/>
      <c r="B23" s="73"/>
      <c r="C23" s="73"/>
      <c r="D23" s="73"/>
      <c r="E23" s="162"/>
      <c r="F23" s="162"/>
      <c r="G23" s="73"/>
      <c r="H23" s="73"/>
      <c r="I23" s="168"/>
    </row>
    <row r="24" spans="1:9" ht="15.75">
      <c r="A24" s="72">
        <v>10</v>
      </c>
      <c r="B24" s="73" t="s">
        <v>406</v>
      </c>
      <c r="C24" s="73"/>
      <c r="D24" s="73"/>
      <c r="E24" s="162"/>
      <c r="F24" s="162"/>
      <c r="G24" s="73"/>
      <c r="H24" s="73"/>
      <c r="I24" s="168"/>
    </row>
    <row r="25" spans="1:9" ht="15.75">
      <c r="A25" s="72"/>
      <c r="B25" s="73" t="s">
        <v>381</v>
      </c>
      <c r="C25" s="73">
        <v>421</v>
      </c>
      <c r="D25" s="73">
        <v>415</v>
      </c>
      <c r="E25" s="162">
        <v>16312761</v>
      </c>
      <c r="F25" s="162">
        <v>16312761</v>
      </c>
      <c r="G25" s="168">
        <v>16312761</v>
      </c>
      <c r="H25" s="73"/>
      <c r="I25" s="168"/>
    </row>
    <row r="26" spans="1:9" ht="15.75">
      <c r="A26" s="72"/>
      <c r="B26" s="73" t="s">
        <v>405</v>
      </c>
      <c r="C26" s="73">
        <v>421</v>
      </c>
      <c r="D26" s="73">
        <v>4111</v>
      </c>
      <c r="E26" s="162">
        <v>31422101</v>
      </c>
      <c r="F26" s="162">
        <v>31422101</v>
      </c>
      <c r="G26" s="301">
        <v>31422101</v>
      </c>
      <c r="H26" s="73"/>
      <c r="I26" s="168"/>
    </row>
    <row r="27" spans="1:9" ht="15.75">
      <c r="A27" s="72"/>
      <c r="B27" s="73" t="s">
        <v>211</v>
      </c>
      <c r="C27" s="73">
        <v>421</v>
      </c>
      <c r="D27" s="73">
        <v>414</v>
      </c>
      <c r="E27" s="162">
        <v>34617827</v>
      </c>
      <c r="F27" s="162">
        <v>34585534</v>
      </c>
      <c r="G27" s="302">
        <v>34585534</v>
      </c>
      <c r="H27" s="73"/>
      <c r="I27" s="168"/>
    </row>
    <row r="28" spans="1:9" ht="15.75">
      <c r="A28" s="72"/>
      <c r="B28" s="73" t="s">
        <v>384</v>
      </c>
      <c r="C28" s="73">
        <v>421</v>
      </c>
      <c r="D28" s="73">
        <v>431</v>
      </c>
      <c r="E28" s="162">
        <v>80774928</v>
      </c>
      <c r="F28" s="162">
        <v>80774928</v>
      </c>
      <c r="G28" s="162">
        <v>80774928</v>
      </c>
      <c r="H28" s="73"/>
      <c r="I28" s="168"/>
    </row>
    <row r="29" spans="1:9" ht="15.75">
      <c r="A29" s="72"/>
      <c r="B29" s="164"/>
      <c r="C29" s="73"/>
      <c r="D29" s="73"/>
      <c r="E29" s="162"/>
      <c r="F29" s="73"/>
      <c r="G29" s="73"/>
      <c r="H29" s="73"/>
      <c r="I29" s="73"/>
    </row>
    <row r="30" spans="1:9" ht="15.75">
      <c r="A30" s="263">
        <v>17</v>
      </c>
      <c r="B30" s="264" t="s">
        <v>375</v>
      </c>
      <c r="C30" s="265"/>
      <c r="D30" s="265"/>
      <c r="E30" s="288">
        <f>SUM(E9:E29)</f>
        <v>2676154557</v>
      </c>
      <c r="F30" s="288">
        <f>SUM(F9:F29)</f>
        <v>2638752088</v>
      </c>
      <c r="G30" s="288">
        <f>SUM(G9:G29)</f>
        <v>2412565953</v>
      </c>
      <c r="H30" s="288">
        <f>SUM(H9:H29)</f>
        <v>37370176</v>
      </c>
      <c r="I30" s="288">
        <f>SUM(I9:I29)</f>
        <v>263556311</v>
      </c>
    </row>
    <row r="31" spans="1:9" ht="15.75">
      <c r="A31" s="166"/>
      <c r="B31" s="161"/>
      <c r="C31" s="167"/>
      <c r="D31" s="167"/>
      <c r="E31" s="168"/>
      <c r="F31" s="74"/>
      <c r="G31" s="87"/>
      <c r="H31" s="74"/>
      <c r="I31" s="87"/>
    </row>
    <row r="32" spans="1:9" ht="15.75">
      <c r="A32" s="166"/>
      <c r="B32" s="169"/>
      <c r="C32" s="167"/>
      <c r="D32" s="167"/>
      <c r="E32" s="168"/>
      <c r="F32" s="74"/>
      <c r="G32" s="74"/>
      <c r="H32" s="74"/>
      <c r="I32" s="74"/>
    </row>
    <row r="33" spans="1:9" ht="15.75">
      <c r="A33" s="166"/>
      <c r="B33" s="155"/>
      <c r="C33" s="167"/>
      <c r="D33" s="167"/>
      <c r="E33" s="168"/>
      <c r="F33" s="74"/>
      <c r="G33" s="74"/>
      <c r="H33" s="74"/>
      <c r="I33" s="74"/>
    </row>
    <row r="34" spans="1:9" ht="15.75">
      <c r="A34" s="166"/>
      <c r="B34" s="161"/>
      <c r="C34" s="167"/>
      <c r="D34" s="167"/>
      <c r="E34" s="168"/>
      <c r="F34" s="74"/>
      <c r="G34" s="74"/>
      <c r="H34" s="74"/>
      <c r="I34" s="74"/>
    </row>
    <row r="35" spans="1:9" ht="15.75">
      <c r="A35" s="166"/>
      <c r="B35" s="161"/>
      <c r="C35" s="167"/>
      <c r="D35" s="167"/>
      <c r="E35" s="168"/>
      <c r="F35" s="74"/>
      <c r="G35" s="74"/>
      <c r="H35" s="74"/>
      <c r="I35" s="74"/>
    </row>
    <row r="36" spans="1:9" ht="15.75">
      <c r="A36" s="166"/>
      <c r="B36" s="73"/>
      <c r="C36" s="167"/>
      <c r="D36" s="167"/>
      <c r="E36" s="168"/>
      <c r="F36" s="74"/>
      <c r="G36" s="74"/>
      <c r="H36" s="74"/>
      <c r="I36" s="74"/>
    </row>
    <row r="37" spans="1:9" ht="15.75">
      <c r="A37" s="166"/>
      <c r="B37" s="167"/>
      <c r="C37" s="167"/>
      <c r="D37" s="167"/>
      <c r="E37" s="168"/>
      <c r="F37" s="74"/>
      <c r="G37" s="74"/>
      <c r="H37" s="74"/>
      <c r="I37" s="74"/>
    </row>
    <row r="38" spans="1:9" ht="15.75">
      <c r="A38" s="166"/>
      <c r="B38" s="167"/>
      <c r="C38" s="167"/>
      <c r="D38" s="167"/>
      <c r="E38" s="168"/>
      <c r="F38" s="74"/>
      <c r="G38" s="74"/>
      <c r="H38" s="74"/>
      <c r="I38" s="74"/>
    </row>
    <row r="39" spans="1:9" ht="15.75">
      <c r="A39" s="166"/>
      <c r="B39" s="167"/>
      <c r="C39" s="167"/>
      <c r="D39" s="167"/>
      <c r="E39" s="168"/>
      <c r="F39" s="74"/>
      <c r="G39" s="74"/>
      <c r="H39" s="88"/>
      <c r="I39" s="74"/>
    </row>
    <row r="40" spans="1:9" ht="15.75">
      <c r="A40" s="166"/>
      <c r="B40" s="167"/>
      <c r="C40" s="167"/>
      <c r="D40" s="167"/>
      <c r="E40" s="168"/>
      <c r="F40" s="175"/>
      <c r="G40" s="175"/>
      <c r="H40" s="176"/>
      <c r="I40" s="175"/>
    </row>
    <row r="41" spans="1:9" ht="15.75">
      <c r="A41" s="166"/>
      <c r="B41" s="167"/>
      <c r="C41" s="167"/>
      <c r="D41" s="167"/>
      <c r="E41" s="168"/>
      <c r="F41" s="175"/>
      <c r="G41" s="175"/>
      <c r="H41" s="176"/>
      <c r="I41" s="175"/>
    </row>
    <row r="42" spans="1:9" ht="15.75">
      <c r="A42" s="166"/>
      <c r="B42" s="167"/>
      <c r="C42" s="167"/>
      <c r="D42" s="167"/>
      <c r="E42" s="168"/>
      <c r="F42" s="175"/>
      <c r="G42" s="175"/>
      <c r="H42" s="176"/>
      <c r="I42" s="175"/>
    </row>
    <row r="43" spans="1:9" ht="15.75">
      <c r="A43" s="166"/>
      <c r="B43" s="167"/>
      <c r="C43" s="167"/>
      <c r="D43" s="167"/>
      <c r="E43" s="168"/>
      <c r="F43" s="175"/>
      <c r="G43" s="175"/>
      <c r="H43" s="176"/>
      <c r="I43" s="175"/>
    </row>
    <row r="44" spans="1:9" ht="15.75">
      <c r="A44" s="166"/>
      <c r="B44" s="167"/>
      <c r="C44" s="167"/>
      <c r="D44" s="167"/>
      <c r="E44" s="168"/>
      <c r="F44" s="175"/>
      <c r="G44" s="175"/>
      <c r="H44" s="176"/>
      <c r="I44" s="175"/>
    </row>
    <row r="45" spans="1:9" ht="15.75">
      <c r="A45" s="166"/>
      <c r="B45" s="167"/>
      <c r="C45" s="167"/>
      <c r="D45" s="167"/>
      <c r="E45" s="168"/>
      <c r="F45" s="175"/>
      <c r="G45" s="175"/>
      <c r="H45" s="176"/>
      <c r="I45" s="175"/>
    </row>
    <row r="46" spans="1:9" ht="15.75">
      <c r="A46" s="76"/>
      <c r="B46" s="77"/>
      <c r="C46" s="77"/>
      <c r="D46" s="77"/>
      <c r="E46" s="78"/>
      <c r="F46" s="79"/>
      <c r="G46" s="77"/>
      <c r="H46" s="77"/>
      <c r="I46" s="77"/>
    </row>
    <row r="47" spans="1:5" ht="15.75">
      <c r="A47" s="80"/>
      <c r="E47" s="81"/>
    </row>
    <row r="48" spans="1:5" ht="15.75">
      <c r="A48" s="80"/>
      <c r="E48" s="81"/>
    </row>
    <row r="49" spans="1:5" ht="15.75">
      <c r="A49" s="80"/>
      <c r="E49" s="81"/>
    </row>
    <row r="50" spans="1:5" ht="15.75">
      <c r="A50" s="80"/>
      <c r="E50" s="81"/>
    </row>
    <row r="51" spans="1:5" ht="15.75">
      <c r="A51" s="80"/>
      <c r="E51" s="81"/>
    </row>
    <row r="52" spans="1:5" ht="15.75">
      <c r="A52" s="80"/>
      <c r="E52" s="81"/>
    </row>
    <row r="53" spans="1:17" ht="15.75">
      <c r="A53" s="80"/>
      <c r="E53" s="81"/>
      <c r="L53" s="260" t="s">
        <v>418</v>
      </c>
      <c r="O53" s="66" t="s">
        <v>419</v>
      </c>
      <c r="Q53" s="66" t="s">
        <v>421</v>
      </c>
    </row>
    <row r="54" spans="1:17" ht="15.75">
      <c r="A54" s="80"/>
      <c r="E54" s="81"/>
      <c r="L54" s="260" t="s">
        <v>321</v>
      </c>
      <c r="O54" s="66" t="s">
        <v>420</v>
      </c>
      <c r="Q54" s="66" t="s">
        <v>422</v>
      </c>
    </row>
    <row r="55" spans="1:12" ht="15.75">
      <c r="A55" s="80"/>
      <c r="E55" s="81"/>
      <c r="L55" s="260" t="s">
        <v>423</v>
      </c>
    </row>
    <row r="56" spans="1:5" ht="15.75">
      <c r="A56" s="80"/>
      <c r="E56" s="81"/>
    </row>
    <row r="57" spans="1:5" ht="15.75">
      <c r="A57" s="80"/>
      <c r="E57" s="81"/>
    </row>
    <row r="58" spans="1:15" ht="15.75">
      <c r="A58" s="82"/>
      <c r="L58" s="260" t="s">
        <v>391</v>
      </c>
      <c r="M58" s="260"/>
      <c r="N58" s="260"/>
      <c r="O58" s="313">
        <v>526183012</v>
      </c>
    </row>
    <row r="59" spans="1:15" ht="15.75">
      <c r="A59" s="82"/>
      <c r="L59" s="260" t="s">
        <v>395</v>
      </c>
      <c r="M59" s="260"/>
      <c r="N59" s="260"/>
      <c r="O59" s="313">
        <f>O60-O63</f>
        <v>513711244</v>
      </c>
    </row>
    <row r="60" spans="1:15" ht="15.75">
      <c r="A60" s="80"/>
      <c r="L60" s="66" t="s">
        <v>392</v>
      </c>
      <c r="O60" s="81">
        <f>O61+O62</f>
        <v>526466025</v>
      </c>
    </row>
    <row r="61" spans="1:15" ht="15.75">
      <c r="A61" s="80"/>
      <c r="L61" s="310" t="s">
        <v>411</v>
      </c>
      <c r="M61" s="310"/>
      <c r="N61" s="310"/>
      <c r="O61" s="311">
        <v>351608353</v>
      </c>
    </row>
    <row r="62" spans="12:15" ht="15.75">
      <c r="L62" s="312" t="s">
        <v>393</v>
      </c>
      <c r="M62" s="310"/>
      <c r="N62" s="310"/>
      <c r="O62" s="311">
        <v>174857672</v>
      </c>
    </row>
    <row r="63" spans="12:15" ht="15.75">
      <c r="L63" s="66" t="s">
        <v>394</v>
      </c>
      <c r="O63" s="81">
        <f>O64</f>
        <v>12754781</v>
      </c>
    </row>
    <row r="64" spans="1:15" ht="15.75">
      <c r="A64" s="258"/>
      <c r="L64" s="310" t="s">
        <v>413</v>
      </c>
      <c r="M64" s="310"/>
      <c r="N64" s="310"/>
      <c r="O64" s="311">
        <v>12754781</v>
      </c>
    </row>
    <row r="65" spans="1:15" ht="15.75">
      <c r="A65" s="258"/>
      <c r="L65" s="66" t="s">
        <v>396</v>
      </c>
      <c r="O65" s="81">
        <f>(O58+O59)*0.28</f>
        <v>291170391.68</v>
      </c>
    </row>
    <row r="66" spans="1:16" ht="15.75">
      <c r="A66" s="258"/>
      <c r="L66" s="66" t="s">
        <v>397</v>
      </c>
      <c r="O66" s="81">
        <f>O62</f>
        <v>174857672</v>
      </c>
      <c r="P66" s="260"/>
    </row>
    <row r="67" spans="1:20" s="260" customFormat="1" ht="15.75">
      <c r="A67" s="82"/>
      <c r="L67" s="260" t="s">
        <v>398</v>
      </c>
      <c r="O67" s="313">
        <f>O65-O66</f>
        <v>116312719.68</v>
      </c>
      <c r="P67" s="309">
        <v>52874202</v>
      </c>
      <c r="Q67" s="314">
        <f>O67-P67</f>
        <v>63438517.68000001</v>
      </c>
      <c r="R67" s="314">
        <f>P67-Q67</f>
        <v>-10564315.680000007</v>
      </c>
      <c r="S67" s="260" t="s">
        <v>400</v>
      </c>
      <c r="T67" s="260">
        <v>63438518</v>
      </c>
    </row>
    <row r="68" spans="1:20" s="260" customFormat="1" ht="15.75">
      <c r="A68" s="82"/>
      <c r="L68" s="260" t="s">
        <v>399</v>
      </c>
      <c r="O68" s="313">
        <f>O58-O67</f>
        <v>409870292.32</v>
      </c>
      <c r="S68" s="260" t="s">
        <v>401</v>
      </c>
      <c r="T68" s="260">
        <v>63438518</v>
      </c>
    </row>
    <row r="69" spans="1:17" ht="15.75">
      <c r="A69" s="80"/>
      <c r="L69" s="260"/>
      <c r="O69" s="309"/>
      <c r="P69" s="66" t="s">
        <v>387</v>
      </c>
      <c r="Q69" s="66" t="s">
        <v>389</v>
      </c>
    </row>
    <row r="70" spans="1:17" ht="15.75">
      <c r="A70" s="80"/>
      <c r="O70" s="67"/>
      <c r="P70" s="159" t="s">
        <v>388</v>
      </c>
      <c r="Q70" s="159" t="s">
        <v>390</v>
      </c>
    </row>
    <row r="71" spans="1:15" ht="15.75">
      <c r="A71" s="80"/>
      <c r="O71" s="259"/>
    </row>
    <row r="72" spans="1:19" ht="15.75">
      <c r="A72" s="304"/>
      <c r="L72" s="305" t="s">
        <v>386</v>
      </c>
      <c r="M72" s="305"/>
      <c r="N72" s="305"/>
      <c r="O72" s="306">
        <f>ROUND(SUM(O74:O78),0)</f>
        <v>409870292</v>
      </c>
      <c r="P72" s="307">
        <v>246742675</v>
      </c>
      <c r="Q72" s="308">
        <f>ROUND(O72-P72,0)</f>
        <v>163127617</v>
      </c>
      <c r="R72" s="308">
        <f>ROUND(SUM(Q74:Q78)-Q72,0)</f>
        <v>-107640</v>
      </c>
      <c r="S72" s="159"/>
    </row>
    <row r="73" spans="1:19" ht="15.75">
      <c r="A73" s="299"/>
      <c r="L73" s="285" t="s">
        <v>383</v>
      </c>
      <c r="M73" s="159"/>
      <c r="N73" s="159"/>
      <c r="O73" s="159"/>
      <c r="P73" s="159"/>
      <c r="Q73" s="159"/>
      <c r="R73" s="159"/>
      <c r="S73" s="159"/>
    </row>
    <row r="74" spans="1:19" ht="15.75">
      <c r="A74" s="299"/>
      <c r="L74" s="285" t="s">
        <v>381</v>
      </c>
      <c r="M74" s="285">
        <v>421</v>
      </c>
      <c r="N74" s="285">
        <v>415</v>
      </c>
      <c r="O74" s="300">
        <v>40987029</v>
      </c>
      <c r="P74" s="96">
        <v>24674268</v>
      </c>
      <c r="Q74" s="96">
        <f>O74-P74</f>
        <v>16312761</v>
      </c>
      <c r="R74" s="300">
        <v>16312761</v>
      </c>
      <c r="S74" s="159"/>
    </row>
    <row r="75" spans="1:19" ht="15.75">
      <c r="A75" s="299"/>
      <c r="L75" s="285" t="s">
        <v>382</v>
      </c>
      <c r="M75" s="285">
        <v>421</v>
      </c>
      <c r="N75" s="285">
        <v>411</v>
      </c>
      <c r="O75" s="300">
        <v>79246403</v>
      </c>
      <c r="P75" s="96">
        <v>47824302</v>
      </c>
      <c r="Q75" s="96">
        <f>O75-P75</f>
        <v>31422101</v>
      </c>
      <c r="R75" s="300">
        <v>31529741</v>
      </c>
      <c r="S75" s="159"/>
    </row>
    <row r="76" spans="1:19" ht="15.75">
      <c r="A76" s="299"/>
      <c r="L76" s="285" t="s">
        <v>211</v>
      </c>
      <c r="M76" s="285">
        <v>421</v>
      </c>
      <c r="N76" s="285">
        <v>414</v>
      </c>
      <c r="O76" s="300">
        <v>86891058</v>
      </c>
      <c r="P76" s="96">
        <v>52305524</v>
      </c>
      <c r="Q76" s="96">
        <f>O76-P76</f>
        <v>34585534</v>
      </c>
      <c r="R76" s="300">
        <v>34585534</v>
      </c>
      <c r="S76" s="159"/>
    </row>
    <row r="77" spans="1:19" ht="15.75">
      <c r="A77" s="299"/>
      <c r="L77" s="285" t="s">
        <v>384</v>
      </c>
      <c r="M77" s="285">
        <v>421</v>
      </c>
      <c r="N77" s="285">
        <v>431</v>
      </c>
      <c r="O77" s="300">
        <v>122745802</v>
      </c>
      <c r="P77" s="322">
        <v>42046221</v>
      </c>
      <c r="Q77" s="322">
        <f>O77-P77</f>
        <v>80699581</v>
      </c>
      <c r="R77" s="300">
        <v>80699581</v>
      </c>
      <c r="S77" s="159"/>
    </row>
    <row r="78" spans="1:19" ht="15.75">
      <c r="A78" s="299"/>
      <c r="L78" s="285" t="s">
        <v>385</v>
      </c>
      <c r="M78" s="285">
        <v>421</v>
      </c>
      <c r="N78" s="285">
        <v>431</v>
      </c>
      <c r="O78" s="300">
        <v>80000000</v>
      </c>
      <c r="P78" s="96">
        <v>80000000</v>
      </c>
      <c r="Q78" s="96">
        <f>O78-P78</f>
        <v>0</v>
      </c>
      <c r="R78" s="300"/>
      <c r="S78" s="159"/>
    </row>
    <row r="79" spans="1:16" ht="15.75">
      <c r="A79" s="299"/>
      <c r="B79" s="159"/>
      <c r="C79" s="159"/>
      <c r="D79" s="159"/>
      <c r="E79" s="182"/>
      <c r="F79" s="159"/>
      <c r="G79" s="159"/>
      <c r="H79" s="159"/>
      <c r="I79" s="159"/>
      <c r="P79" s="303">
        <f>SUM(P74:P78)</f>
        <v>246850315</v>
      </c>
    </row>
    <row r="80" spans="1:18" ht="15.75">
      <c r="A80" s="80"/>
      <c r="E80" s="262"/>
      <c r="G80" s="303"/>
      <c r="L80" s="67"/>
      <c r="M80" s="67"/>
      <c r="N80" s="67"/>
      <c r="O80" s="67">
        <f>O77+O78</f>
        <v>202745802</v>
      </c>
      <c r="P80" s="67">
        <f>P72-P79</f>
        <v>-107640</v>
      </c>
      <c r="Q80" s="67"/>
      <c r="R80" s="67">
        <v>47824302</v>
      </c>
    </row>
    <row r="81" spans="1:18" ht="15.75">
      <c r="A81" s="80"/>
      <c r="E81" s="262"/>
      <c r="L81" s="318" t="s">
        <v>412</v>
      </c>
      <c r="M81" s="67"/>
      <c r="N81" s="67"/>
      <c r="O81" s="67"/>
      <c r="P81" s="67">
        <f>SUM(P82:P84)</f>
        <v>351608353</v>
      </c>
      <c r="Q81" s="67"/>
      <c r="R81" s="67">
        <f>R80-P75</f>
        <v>0</v>
      </c>
    </row>
    <row r="82" spans="1:18" ht="15.75">
      <c r="A82" s="80"/>
      <c r="E82" s="292"/>
      <c r="K82" s="310"/>
      <c r="L82" s="319" t="s">
        <v>417</v>
      </c>
      <c r="M82" s="318"/>
      <c r="N82" s="318"/>
      <c r="O82" s="318"/>
      <c r="P82" s="318">
        <v>165494813</v>
      </c>
      <c r="Q82" s="67"/>
      <c r="R82" s="67">
        <v>32293</v>
      </c>
    </row>
    <row r="83" spans="1:18" ht="15.75">
      <c r="A83" s="80"/>
      <c r="E83" s="292"/>
      <c r="K83" s="310"/>
      <c r="L83" s="319" t="s">
        <v>416</v>
      </c>
      <c r="M83" s="318"/>
      <c r="N83" s="318"/>
      <c r="O83" s="318"/>
      <c r="P83" s="318">
        <v>11270800</v>
      </c>
      <c r="Q83" s="67"/>
      <c r="R83" s="67">
        <f>R81-R82</f>
        <v>-32293</v>
      </c>
    </row>
    <row r="84" spans="1:18" ht="15.75">
      <c r="A84" s="80"/>
      <c r="B84" s="260"/>
      <c r="E84" s="261"/>
      <c r="K84" s="310"/>
      <c r="L84" s="319" t="s">
        <v>415</v>
      </c>
      <c r="M84" s="318"/>
      <c r="N84" s="318"/>
      <c r="O84" s="318"/>
      <c r="P84" s="318">
        <v>174842740</v>
      </c>
      <c r="Q84" s="67"/>
      <c r="R84" s="67"/>
    </row>
    <row r="85" spans="1:18" ht="15.75">
      <c r="A85" s="80"/>
      <c r="B85" s="260"/>
      <c r="E85" s="262"/>
      <c r="L85" s="67"/>
      <c r="M85" s="67"/>
      <c r="N85" s="67"/>
      <c r="O85" s="67"/>
      <c r="P85" s="67"/>
      <c r="Q85" s="67"/>
      <c r="R85" s="67"/>
    </row>
    <row r="86" spans="1:18" ht="15.75">
      <c r="A86" s="80"/>
      <c r="E86" s="262"/>
      <c r="L86" s="310" t="s">
        <v>413</v>
      </c>
      <c r="M86" s="67"/>
      <c r="N86" s="67"/>
      <c r="O86" s="67"/>
      <c r="P86" s="67">
        <f>P87</f>
        <v>12754781</v>
      </c>
      <c r="Q86" s="67"/>
      <c r="R86" s="67"/>
    </row>
    <row r="87" spans="1:18" ht="15.75">
      <c r="A87" s="80"/>
      <c r="L87" s="319" t="s">
        <v>414</v>
      </c>
      <c r="M87" s="318"/>
      <c r="N87" s="318"/>
      <c r="O87" s="318"/>
      <c r="P87" s="318">
        <v>12754781</v>
      </c>
      <c r="Q87" s="318"/>
      <c r="R87" s="67"/>
    </row>
    <row r="88" spans="1:18" ht="15.75">
      <c r="A88" s="80"/>
      <c r="L88" s="67"/>
      <c r="M88" s="67"/>
      <c r="N88" s="67"/>
      <c r="O88" s="67"/>
      <c r="P88" s="67"/>
      <c r="Q88" s="67"/>
      <c r="R88" s="67"/>
    </row>
    <row r="89" spans="1:18" ht="15.75">
      <c r="A89" s="80"/>
      <c r="L89" s="67"/>
      <c r="M89" s="67"/>
      <c r="N89" s="67"/>
      <c r="O89" s="67"/>
      <c r="P89" s="67"/>
      <c r="Q89" s="67"/>
      <c r="R89" s="67"/>
    </row>
    <row r="90" spans="1:18" ht="15.75">
      <c r="A90" s="80"/>
      <c r="L90" s="67"/>
      <c r="M90" s="67"/>
      <c r="N90" s="67"/>
      <c r="O90" s="67"/>
      <c r="P90" s="67"/>
      <c r="Q90" s="67"/>
      <c r="R90" s="67"/>
    </row>
    <row r="91" spans="1:18" ht="15.75">
      <c r="A91" s="80"/>
      <c r="L91" s="67"/>
      <c r="M91" s="67"/>
      <c r="N91" s="67"/>
      <c r="O91" s="67"/>
      <c r="P91" s="67"/>
      <c r="Q91" s="67"/>
      <c r="R91" s="67"/>
    </row>
    <row r="92" spans="1:18" ht="15.75">
      <c r="A92" s="80"/>
      <c r="L92" s="67"/>
      <c r="M92" s="67"/>
      <c r="N92" s="67"/>
      <c r="O92" s="67"/>
      <c r="P92" s="67"/>
      <c r="Q92" s="67"/>
      <c r="R92" s="67"/>
    </row>
    <row r="93" spans="1:18" ht="15.75">
      <c r="A93" s="80"/>
      <c r="L93" s="67"/>
      <c r="M93" s="67"/>
      <c r="N93" s="67"/>
      <c r="O93" s="67"/>
      <c r="P93" s="67"/>
      <c r="Q93" s="67"/>
      <c r="R93" s="67"/>
    </row>
    <row r="94" spans="1:18" ht="15.75">
      <c r="A94" s="80"/>
      <c r="L94" s="67"/>
      <c r="M94" s="67"/>
      <c r="N94" s="67"/>
      <c r="O94" s="67"/>
      <c r="P94" s="67"/>
      <c r="Q94" s="67"/>
      <c r="R94" s="67"/>
    </row>
    <row r="95" spans="1:18" ht="15.75">
      <c r="A95" s="80"/>
      <c r="L95" s="67"/>
      <c r="M95" s="67"/>
      <c r="N95" s="67"/>
      <c r="O95" s="67"/>
      <c r="P95" s="67"/>
      <c r="Q95" s="67"/>
      <c r="R95" s="67"/>
    </row>
    <row r="96" spans="1:18" ht="15.75">
      <c r="A96" s="80"/>
      <c r="L96" s="67"/>
      <c r="M96" s="67"/>
      <c r="N96" s="67"/>
      <c r="O96" s="67"/>
      <c r="P96" s="67"/>
      <c r="Q96" s="67"/>
      <c r="R96" s="67"/>
    </row>
    <row r="97" spans="1:18" ht="15.75">
      <c r="A97" s="80"/>
      <c r="L97" s="67"/>
      <c r="M97" s="67"/>
      <c r="N97" s="67"/>
      <c r="O97" s="67"/>
      <c r="P97" s="67"/>
      <c r="Q97" s="67"/>
      <c r="R97" s="67"/>
    </row>
    <row r="98" spans="1:18" ht="15.75">
      <c r="A98" s="80"/>
      <c r="L98" s="67"/>
      <c r="M98" s="67"/>
      <c r="N98" s="67"/>
      <c r="O98" s="67"/>
      <c r="P98" s="67"/>
      <c r="Q98" s="67"/>
      <c r="R98" s="67"/>
    </row>
    <row r="99" spans="1:18" ht="15.75">
      <c r="A99" s="80"/>
      <c r="L99" s="67"/>
      <c r="M99" s="67"/>
      <c r="N99" s="67"/>
      <c r="O99" s="67"/>
      <c r="P99" s="67"/>
      <c r="Q99" s="67"/>
      <c r="R99" s="67"/>
    </row>
    <row r="100" spans="1:18" ht="15.75">
      <c r="A100" s="80"/>
      <c r="L100" s="67"/>
      <c r="M100" s="67"/>
      <c r="N100" s="67"/>
      <c r="O100" s="67"/>
      <c r="P100" s="67"/>
      <c r="Q100" s="67"/>
      <c r="R100" s="67"/>
    </row>
    <row r="101" spans="1:18" ht="15.75">
      <c r="A101" s="80"/>
      <c r="L101" s="67"/>
      <c r="M101" s="67"/>
      <c r="N101" s="67"/>
      <c r="O101" s="67"/>
      <c r="P101" s="67"/>
      <c r="Q101" s="67"/>
      <c r="R101" s="67"/>
    </row>
    <row r="102" spans="1:18" ht="15.75">
      <c r="A102" s="80"/>
      <c r="L102" s="67"/>
      <c r="M102" s="67"/>
      <c r="N102" s="67"/>
      <c r="O102" s="67"/>
      <c r="P102" s="67"/>
      <c r="Q102" s="67"/>
      <c r="R102" s="67"/>
    </row>
    <row r="103" spans="1:18" ht="15.75">
      <c r="A103" s="80"/>
      <c r="L103" s="67"/>
      <c r="M103" s="67"/>
      <c r="N103" s="67"/>
      <c r="O103" s="67"/>
      <c r="P103" s="67"/>
      <c r="Q103" s="67"/>
      <c r="R103" s="67"/>
    </row>
    <row r="104" spans="1:18" ht="15.75">
      <c r="A104" s="80"/>
      <c r="F104" s="67"/>
      <c r="L104" s="67"/>
      <c r="M104" s="67"/>
      <c r="N104" s="67"/>
      <c r="O104" s="67"/>
      <c r="P104" s="67"/>
      <c r="Q104" s="67"/>
      <c r="R104" s="67"/>
    </row>
    <row r="105" spans="1:18" ht="15.75">
      <c r="A105" s="80"/>
      <c r="L105" s="67"/>
      <c r="M105" s="67"/>
      <c r="N105" s="67"/>
      <c r="O105" s="67"/>
      <c r="P105" s="67"/>
      <c r="Q105" s="67"/>
      <c r="R105" s="67"/>
    </row>
    <row r="106" spans="1:18" ht="15.75">
      <c r="A106" s="80"/>
      <c r="F106" s="67"/>
      <c r="L106" s="67"/>
      <c r="M106" s="67"/>
      <c r="N106" s="67"/>
      <c r="O106" s="67"/>
      <c r="P106" s="67"/>
      <c r="Q106" s="67"/>
      <c r="R106" s="67"/>
    </row>
    <row r="107" spans="1:18" ht="15.75">
      <c r="A107" s="82"/>
      <c r="B107" s="83"/>
      <c r="L107" s="67"/>
      <c r="M107" s="67"/>
      <c r="N107" s="67"/>
      <c r="O107" s="67"/>
      <c r="P107" s="67"/>
      <c r="Q107" s="67"/>
      <c r="R107" s="67"/>
    </row>
    <row r="108" spans="1:18" ht="15.75">
      <c r="A108" s="80"/>
      <c r="L108" s="67"/>
      <c r="M108" s="67"/>
      <c r="N108" s="67"/>
      <c r="O108" s="67"/>
      <c r="P108" s="67"/>
      <c r="Q108" s="67"/>
      <c r="R108" s="67"/>
    </row>
    <row r="109" spans="1:18" ht="15.75">
      <c r="A109" s="80"/>
      <c r="F109" s="67"/>
      <c r="H109" s="84"/>
      <c r="L109" s="67"/>
      <c r="M109" s="67"/>
      <c r="N109" s="67"/>
      <c r="O109" s="67"/>
      <c r="P109" s="67"/>
      <c r="Q109" s="67"/>
      <c r="R109" s="67"/>
    </row>
    <row r="110" spans="1:18" ht="15.75">
      <c r="A110" s="80"/>
      <c r="E110" s="67">
        <f>7130831+2284979+752757</f>
        <v>10168567</v>
      </c>
      <c r="F110" s="67"/>
      <c r="L110" s="67"/>
      <c r="M110" s="67"/>
      <c r="N110" s="67"/>
      <c r="O110" s="67"/>
      <c r="P110" s="67"/>
      <c r="Q110" s="67"/>
      <c r="R110" s="67"/>
    </row>
    <row r="111" spans="1:18" ht="15.75">
      <c r="A111" s="80"/>
      <c r="E111" s="67">
        <f>22280840+2019761+14148334+7017540+3859647+26881231</f>
        <v>76207353</v>
      </c>
      <c r="L111" s="67"/>
      <c r="M111" s="67"/>
      <c r="N111" s="67"/>
      <c r="O111" s="67"/>
      <c r="P111" s="67"/>
      <c r="Q111" s="67"/>
      <c r="R111" s="67"/>
    </row>
    <row r="112" spans="1:6" ht="15.75">
      <c r="A112" s="80"/>
      <c r="E112" s="67">
        <f>1505714+14125108</f>
        <v>15630822</v>
      </c>
      <c r="F112" s="67"/>
    </row>
    <row r="113" spans="1:9" ht="15.75">
      <c r="A113" s="80"/>
      <c r="E113" s="67">
        <f>377919+178870+98378+11502756+8387271</f>
        <v>20545194</v>
      </c>
      <c r="F113" s="85"/>
      <c r="G113" s="85"/>
      <c r="H113" s="85"/>
      <c r="I113" s="85"/>
    </row>
    <row r="114" ht="15.75">
      <c r="E114" s="86">
        <f>SUM(E110:E113)</f>
        <v>122551936</v>
      </c>
    </row>
    <row r="115" ht="15.75">
      <c r="E115" s="67">
        <v>22244264</v>
      </c>
    </row>
    <row r="116" ht="15.75">
      <c r="E116" s="67">
        <f>E115+E114</f>
        <v>144796200</v>
      </c>
    </row>
    <row r="119" ht="15.75">
      <c r="E119" s="67">
        <f>157660193-E116</f>
        <v>12863993</v>
      </c>
    </row>
    <row r="120" ht="15.75">
      <c r="E120" s="67" t="e">
        <f>E119-#REF!</f>
        <v>#REF!</v>
      </c>
    </row>
  </sheetData>
  <autoFilter ref="C7:D46"/>
  <mergeCells count="8">
    <mergeCell ref="H7:I7"/>
    <mergeCell ref="F7:G7"/>
    <mergeCell ref="A1:D1"/>
    <mergeCell ref="A2:B2"/>
    <mergeCell ref="A3:B3"/>
    <mergeCell ref="A17:A18"/>
    <mergeCell ref="B17:B18"/>
    <mergeCell ref="A5:F5"/>
  </mergeCells>
  <printOptions/>
  <pageMargins left="0.4" right="0.4" top="0.39" bottom="0.48" header="0.3" footer="0.22"/>
  <pageSetup horizontalDpi="600" verticalDpi="600" orientation="portrait" paperSize="9" scale="97" r:id="rId1"/>
  <headerFooter alignWithMargins="0">
    <oddFooter>&amp;CIn vµo håi &amp;T ngµy&amp;D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199"/>
  <sheetViews>
    <sheetView workbookViewId="0" topLeftCell="A23">
      <selection activeCell="E128" sqref="E128"/>
    </sheetView>
  </sheetViews>
  <sheetFormatPr defaultColWidth="8.796875" defaultRowHeight="15"/>
  <cols>
    <col min="1" max="1" width="5.3984375" style="96" customWidth="1"/>
    <col min="2" max="2" width="36.59765625" style="92" customWidth="1"/>
    <col min="3" max="3" width="6" style="100" hidden="1" customWidth="1"/>
    <col min="4" max="4" width="5.69921875" style="96" customWidth="1"/>
    <col min="5" max="5" width="7.8984375" style="102" customWidth="1"/>
    <col min="6" max="6" width="14" style="96" hidden="1" customWidth="1"/>
    <col min="7" max="7" width="14.3984375" style="96" hidden="1" customWidth="1"/>
    <col min="8" max="8" width="15.19921875" style="96" customWidth="1"/>
    <col min="9" max="9" width="15" style="96" customWidth="1"/>
    <col min="10" max="10" width="13.59765625" style="96" bestFit="1" customWidth="1"/>
    <col min="11" max="11" width="14.19921875" style="96" bestFit="1" customWidth="1"/>
    <col min="12" max="12" width="15.5" style="96" bestFit="1" customWidth="1"/>
    <col min="13" max="13" width="10.69921875" style="96" bestFit="1" customWidth="1"/>
    <col min="14" max="16384" width="9" style="96" customWidth="1"/>
  </cols>
  <sheetData>
    <row r="1" spans="1:4" ht="15.75" customHeight="1">
      <c r="A1" s="359" t="s">
        <v>380</v>
      </c>
      <c r="B1" s="359"/>
      <c r="C1" s="359"/>
      <c r="D1" s="359"/>
    </row>
    <row r="2" spans="1:8" ht="18" customHeight="1">
      <c r="A2" s="359" t="s">
        <v>446</v>
      </c>
      <c r="B2" s="359"/>
      <c r="C2" s="112"/>
      <c r="D2" s="112"/>
      <c r="E2" s="112"/>
      <c r="F2" s="94"/>
      <c r="G2" s="95"/>
      <c r="H2" s="95"/>
    </row>
    <row r="3" spans="1:8" ht="13.5" customHeight="1">
      <c r="A3" s="369" t="s">
        <v>404</v>
      </c>
      <c r="B3" s="370"/>
      <c r="C3" s="93"/>
      <c r="D3" s="93"/>
      <c r="E3" s="93"/>
      <c r="F3" s="94"/>
      <c r="G3" s="95"/>
      <c r="H3" s="95"/>
    </row>
    <row r="4" spans="1:9" s="98" customFormat="1" ht="0.75" customHeight="1">
      <c r="A4" s="284"/>
      <c r="B4" s="113"/>
      <c r="C4" s="111"/>
      <c r="D4" s="111"/>
      <c r="E4" s="111"/>
      <c r="F4" s="97"/>
      <c r="G4" s="97"/>
      <c r="H4" s="97"/>
      <c r="I4" s="113"/>
    </row>
    <row r="5" spans="2:8" s="98" customFormat="1" ht="3.75" customHeight="1">
      <c r="B5" s="106"/>
      <c r="C5" s="106"/>
      <c r="D5" s="106"/>
      <c r="E5" s="106"/>
      <c r="F5" s="95"/>
      <c r="G5" s="95"/>
      <c r="H5" s="95"/>
    </row>
    <row r="6" spans="1:9" ht="18" customHeight="1">
      <c r="A6" s="331" t="s">
        <v>112</v>
      </c>
      <c r="B6" s="331"/>
      <c r="C6" s="331"/>
      <c r="D6" s="331"/>
      <c r="E6" s="331"/>
      <c r="F6" s="331"/>
      <c r="G6" s="331"/>
      <c r="H6" s="331"/>
      <c r="I6" s="331"/>
    </row>
    <row r="7" spans="1:9" ht="15.75" customHeight="1">
      <c r="A7" s="332" t="s">
        <v>322</v>
      </c>
      <c r="B7" s="332"/>
      <c r="C7" s="332"/>
      <c r="D7" s="332"/>
      <c r="E7" s="332"/>
      <c r="F7" s="332"/>
      <c r="G7" s="332"/>
      <c r="H7" s="332"/>
      <c r="I7" s="332"/>
    </row>
    <row r="8" spans="2:4" ht="15" hidden="1">
      <c r="B8" s="99"/>
      <c r="D8" s="101"/>
    </row>
    <row r="9" spans="2:9" ht="13.5" customHeight="1" thickBot="1">
      <c r="B9" s="99"/>
      <c r="D9" s="101"/>
      <c r="I9" s="200" t="s">
        <v>260</v>
      </c>
    </row>
    <row r="10" spans="1:9" s="103" customFormat="1" ht="30" customHeight="1" thickTop="1">
      <c r="A10" s="124" t="s">
        <v>14</v>
      </c>
      <c r="B10" s="123" t="s">
        <v>113</v>
      </c>
      <c r="C10" s="125" t="s">
        <v>7</v>
      </c>
      <c r="D10" s="123" t="s">
        <v>180</v>
      </c>
      <c r="E10" s="118" t="s">
        <v>114</v>
      </c>
      <c r="F10" s="123" t="s">
        <v>324</v>
      </c>
      <c r="G10" s="123" t="s">
        <v>115</v>
      </c>
      <c r="H10" s="123" t="s">
        <v>326</v>
      </c>
      <c r="I10" s="119" t="s">
        <v>320</v>
      </c>
    </row>
    <row r="11" spans="1:9" ht="19.5" customHeight="1">
      <c r="A11" s="183" t="s">
        <v>140</v>
      </c>
      <c r="B11" s="188" t="s">
        <v>116</v>
      </c>
      <c r="C11" s="114"/>
      <c r="D11" s="117">
        <v>100</v>
      </c>
      <c r="E11" s="116"/>
      <c r="F11" s="174">
        <f>F12+F18+F23+F34+F45</f>
        <v>219352747295</v>
      </c>
      <c r="G11" s="269">
        <f>G12+G18+G23+G34+G45</f>
        <v>-913930285</v>
      </c>
      <c r="H11" s="269">
        <f>H12+H18+H23+H34+H45</f>
        <v>218438817010</v>
      </c>
      <c r="I11" s="270">
        <f>I12+I18+I23+I34+I45</f>
        <v>221426517109</v>
      </c>
    </row>
    <row r="12" spans="1:9" ht="15" customHeight="1">
      <c r="A12" s="183" t="s">
        <v>141</v>
      </c>
      <c r="B12" s="188" t="s">
        <v>117</v>
      </c>
      <c r="C12" s="114"/>
      <c r="D12" s="115">
        <v>110</v>
      </c>
      <c r="E12" s="116"/>
      <c r="F12" s="177">
        <f>F13+F17</f>
        <v>1684427384</v>
      </c>
      <c r="G12" s="271">
        <f>G13+G17</f>
        <v>0</v>
      </c>
      <c r="H12" s="271">
        <f>H13+H17</f>
        <v>1684427384</v>
      </c>
      <c r="I12" s="272">
        <f>I13+I17</f>
        <v>1979378269</v>
      </c>
    </row>
    <row r="13" spans="1:9" ht="15" customHeight="1">
      <c r="A13" s="184" t="s">
        <v>137</v>
      </c>
      <c r="B13" s="185" t="s">
        <v>119</v>
      </c>
      <c r="C13" s="114"/>
      <c r="D13" s="115">
        <v>111</v>
      </c>
      <c r="E13" s="116" t="s">
        <v>121</v>
      </c>
      <c r="F13" s="178">
        <v>1684427384</v>
      </c>
      <c r="G13" s="275">
        <f>SUM(G14:G16)</f>
        <v>0</v>
      </c>
      <c r="H13" s="178">
        <v>1684427384</v>
      </c>
      <c r="I13" s="276">
        <f>SUM(I14:I16)</f>
        <v>1979378269</v>
      </c>
    </row>
    <row r="14" spans="1:9" ht="15" customHeight="1" hidden="1">
      <c r="A14" s="184"/>
      <c r="B14" s="185" t="s">
        <v>258</v>
      </c>
      <c r="C14" s="114">
        <v>111</v>
      </c>
      <c r="D14" s="115"/>
      <c r="E14" s="116"/>
      <c r="F14" s="178">
        <v>493908200</v>
      </c>
      <c r="G14" s="271">
        <f>SUMIF(no,C14,tien)-SUMIF(co,C14,tien)</f>
        <v>0</v>
      </c>
      <c r="H14" s="271">
        <f>+F14+G14</f>
        <v>493908200</v>
      </c>
      <c r="I14" s="272">
        <v>360729500</v>
      </c>
    </row>
    <row r="15" spans="1:9" ht="15" customHeight="1" hidden="1">
      <c r="A15" s="184"/>
      <c r="B15" s="185" t="s">
        <v>259</v>
      </c>
      <c r="C15" s="114">
        <v>112</v>
      </c>
      <c r="D15" s="115"/>
      <c r="E15" s="116"/>
      <c r="F15" s="178">
        <v>1190519184</v>
      </c>
      <c r="G15" s="271">
        <f>SUMIF(no,C15,tien)-SUMIF(co,C15,tien)</f>
        <v>0</v>
      </c>
      <c r="H15" s="271">
        <f>+F15+G15</f>
        <v>1190519184</v>
      </c>
      <c r="I15" s="272">
        <v>1618648769</v>
      </c>
    </row>
    <row r="16" spans="1:9" ht="15" customHeight="1" hidden="1">
      <c r="A16" s="184"/>
      <c r="B16" s="185" t="s">
        <v>261</v>
      </c>
      <c r="C16" s="114">
        <v>113</v>
      </c>
      <c r="D16" s="115"/>
      <c r="E16" s="116"/>
      <c r="F16" s="178"/>
      <c r="G16" s="271">
        <f>SUMIF(no,C16,tien)-SUMIF(co,C16,tien)</f>
        <v>0</v>
      </c>
      <c r="H16" s="271">
        <f>+F16+G16</f>
        <v>0</v>
      </c>
      <c r="I16" s="272"/>
    </row>
    <row r="17" spans="1:9" ht="15" customHeight="1">
      <c r="A17" s="184" t="s">
        <v>136</v>
      </c>
      <c r="B17" s="185" t="s">
        <v>120</v>
      </c>
      <c r="C17" s="114"/>
      <c r="D17" s="115">
        <v>112</v>
      </c>
      <c r="E17" s="116"/>
      <c r="F17" s="178"/>
      <c r="G17" s="271">
        <f>SUMIF(no,C17,tien)-SUMIF(co,C17,tien)</f>
        <v>0</v>
      </c>
      <c r="H17" s="271">
        <f>+F17+G17</f>
        <v>0</v>
      </c>
      <c r="I17" s="272">
        <v>0</v>
      </c>
    </row>
    <row r="18" spans="1:9" ht="15" customHeight="1">
      <c r="A18" s="183" t="s">
        <v>142</v>
      </c>
      <c r="B18" s="188" t="s">
        <v>123</v>
      </c>
      <c r="C18" s="114"/>
      <c r="D18" s="117">
        <v>120</v>
      </c>
      <c r="E18" s="116"/>
      <c r="F18" s="177">
        <f>F19+F22</f>
        <v>0</v>
      </c>
      <c r="G18" s="271">
        <f>G19+G22</f>
        <v>0</v>
      </c>
      <c r="H18" s="271">
        <f>H19+H22</f>
        <v>0</v>
      </c>
      <c r="I18" s="272">
        <f>I19+I22</f>
        <v>0</v>
      </c>
    </row>
    <row r="19" spans="1:9" ht="15" customHeight="1" hidden="1">
      <c r="A19" s="184" t="s">
        <v>137</v>
      </c>
      <c r="B19" s="185" t="s">
        <v>124</v>
      </c>
      <c r="C19" s="114"/>
      <c r="D19" s="115">
        <v>121</v>
      </c>
      <c r="E19" s="116"/>
      <c r="F19" s="177">
        <f>SUM(F20:F21)</f>
        <v>0</v>
      </c>
      <c r="G19" s="271">
        <f>SUM(G20:G21)</f>
        <v>0</v>
      </c>
      <c r="H19" s="271">
        <f>SUM(H20:H21)</f>
        <v>0</v>
      </c>
      <c r="I19" s="272">
        <f>SUM(I20:I21)</f>
        <v>0</v>
      </c>
    </row>
    <row r="20" spans="1:9" ht="15" customHeight="1" hidden="1">
      <c r="A20" s="184"/>
      <c r="B20" s="185" t="s">
        <v>262</v>
      </c>
      <c r="C20" s="114">
        <v>121</v>
      </c>
      <c r="D20" s="115"/>
      <c r="E20" s="116"/>
      <c r="F20" s="177"/>
      <c r="G20" s="271">
        <f>SUMIF(no,C20,tien)-SUMIF(co,C20,tien)</f>
        <v>0</v>
      </c>
      <c r="H20" s="271">
        <f>+F20+G20</f>
        <v>0</v>
      </c>
      <c r="I20" s="272"/>
    </row>
    <row r="21" spans="1:9" ht="15" customHeight="1" hidden="1">
      <c r="A21" s="184"/>
      <c r="B21" s="185" t="s">
        <v>263</v>
      </c>
      <c r="C21" s="114">
        <v>128</v>
      </c>
      <c r="D21" s="115"/>
      <c r="E21" s="116"/>
      <c r="F21" s="177"/>
      <c r="G21" s="271">
        <f>SUMIF(no,C21,tien)-SUMIF(co,C21,tien)</f>
        <v>0</v>
      </c>
      <c r="H21" s="271">
        <f>+F21+G21</f>
        <v>0</v>
      </c>
      <c r="I21" s="272"/>
    </row>
    <row r="22" spans="1:9" ht="15" customHeight="1" hidden="1">
      <c r="A22" s="184" t="s">
        <v>136</v>
      </c>
      <c r="B22" s="185" t="s">
        <v>264</v>
      </c>
      <c r="C22" s="114">
        <v>129</v>
      </c>
      <c r="D22" s="115">
        <v>129</v>
      </c>
      <c r="E22" s="116"/>
      <c r="F22" s="177"/>
      <c r="G22" s="271">
        <f>SUMIF(no,C22,tien)-SUMIF(co,C22,tien)</f>
        <v>0</v>
      </c>
      <c r="H22" s="271">
        <f>+F22+G22</f>
        <v>0</v>
      </c>
      <c r="I22" s="272"/>
    </row>
    <row r="23" spans="1:9" ht="15" customHeight="1">
      <c r="A23" s="183" t="s">
        <v>143</v>
      </c>
      <c r="B23" s="188" t="s">
        <v>125</v>
      </c>
      <c r="C23" s="114"/>
      <c r="D23" s="117">
        <v>130</v>
      </c>
      <c r="E23" s="116" t="s">
        <v>427</v>
      </c>
      <c r="F23" s="174">
        <f>SUM(F24:F28)+F33</f>
        <v>103662615524</v>
      </c>
      <c r="G23" s="269">
        <f>SUM(G24:G28)+G33</f>
        <v>46587500</v>
      </c>
      <c r="H23" s="269">
        <f>SUM(H24:H28)+H33</f>
        <v>103709203024</v>
      </c>
      <c r="I23" s="270">
        <f>SUM(I24:I28)+I33</f>
        <v>107258304614</v>
      </c>
    </row>
    <row r="24" spans="1:9" ht="15" customHeight="1">
      <c r="A24" s="184" t="s">
        <v>137</v>
      </c>
      <c r="B24" s="185" t="s">
        <v>126</v>
      </c>
      <c r="C24" s="114">
        <v>131</v>
      </c>
      <c r="D24" s="115">
        <v>131</v>
      </c>
      <c r="E24" s="116"/>
      <c r="F24" s="170">
        <v>98993224756</v>
      </c>
      <c r="G24" s="271">
        <f>SUMIF(no,C24,tien)-SUMIF(co,C24,tien)</f>
        <v>0</v>
      </c>
      <c r="H24" s="271">
        <f aca="true" t="shared" si="0" ref="H24:H33">+F24+G24</f>
        <v>98993224756</v>
      </c>
      <c r="I24" s="272">
        <v>97243733164</v>
      </c>
    </row>
    <row r="25" spans="1:9" ht="15" customHeight="1">
      <c r="A25" s="184" t="s">
        <v>136</v>
      </c>
      <c r="B25" s="185" t="s">
        <v>127</v>
      </c>
      <c r="C25" s="114" t="s">
        <v>103</v>
      </c>
      <c r="D25" s="115">
        <v>132</v>
      </c>
      <c r="E25" s="116"/>
      <c r="F25" s="171">
        <v>688900000</v>
      </c>
      <c r="G25" s="271">
        <f>SUMIF(no,C25,tien)-SUMIF(co,C25,tien)</f>
        <v>0</v>
      </c>
      <c r="H25" s="271">
        <f t="shared" si="0"/>
        <v>688900000</v>
      </c>
      <c r="I25" s="272">
        <v>1275812849</v>
      </c>
    </row>
    <row r="26" spans="1:12" ht="15" customHeight="1">
      <c r="A26" s="184" t="s">
        <v>144</v>
      </c>
      <c r="B26" s="171" t="s">
        <v>128</v>
      </c>
      <c r="C26" s="114">
        <v>136</v>
      </c>
      <c r="D26" s="115">
        <v>133</v>
      </c>
      <c r="E26" s="116"/>
      <c r="F26" s="177">
        <v>1099436059</v>
      </c>
      <c r="G26" s="271">
        <f>SUMIF(no,C26,tien)-SUMIF(co,C26,tien)</f>
        <v>-1039268059</v>
      </c>
      <c r="H26" s="271">
        <f t="shared" si="0"/>
        <v>60168000</v>
      </c>
      <c r="I26" s="272">
        <v>2898689928</v>
      </c>
      <c r="L26" s="96">
        <v>128090009</v>
      </c>
    </row>
    <row r="27" spans="1:12" ht="15" customHeight="1">
      <c r="A27" s="184" t="s">
        <v>145</v>
      </c>
      <c r="B27" s="185" t="s">
        <v>129</v>
      </c>
      <c r="C27" s="96">
        <v>337</v>
      </c>
      <c r="D27" s="115">
        <v>134</v>
      </c>
      <c r="E27" s="116"/>
      <c r="F27" s="177"/>
      <c r="G27" s="271">
        <f>SUMIF(no,C27,tien)-SUMIF(co,C27,tien)</f>
        <v>0</v>
      </c>
      <c r="H27" s="271">
        <f t="shared" si="0"/>
        <v>0</v>
      </c>
      <c r="I27" s="272"/>
      <c r="L27" s="96">
        <v>359831000</v>
      </c>
    </row>
    <row r="28" spans="1:12" ht="15" customHeight="1">
      <c r="A28" s="184" t="s">
        <v>146</v>
      </c>
      <c r="B28" s="185" t="s">
        <v>130</v>
      </c>
      <c r="C28" s="115">
        <v>1385</v>
      </c>
      <c r="D28" s="115">
        <v>138</v>
      </c>
      <c r="E28" s="116"/>
      <c r="F28" s="178">
        <f>SUM(F29:F32)</f>
        <v>2888710019</v>
      </c>
      <c r="G28" s="275">
        <f>SUM(G29:G32)</f>
        <v>1085855559</v>
      </c>
      <c r="H28" s="275">
        <f>SUM(H29:H32)</f>
        <v>3974565578</v>
      </c>
      <c r="I28" s="272">
        <f>SUM(I29:I32)</f>
        <v>5840068673</v>
      </c>
      <c r="L28" s="96">
        <f>L26+L27</f>
        <v>487921009</v>
      </c>
    </row>
    <row r="29" spans="1:9" ht="15" customHeight="1" hidden="1">
      <c r="A29" s="184"/>
      <c r="B29" s="185" t="s">
        <v>265</v>
      </c>
      <c r="C29" s="148">
        <v>1385</v>
      </c>
      <c r="D29" s="115"/>
      <c r="E29" s="116"/>
      <c r="F29" s="178">
        <v>359831000</v>
      </c>
      <c r="G29" s="271">
        <f>SUMIF(no,C29,tien)-SUMIF(co,C29,tien)</f>
        <v>0</v>
      </c>
      <c r="H29" s="271">
        <f t="shared" si="0"/>
        <v>359831000</v>
      </c>
      <c r="I29" s="272"/>
    </row>
    <row r="30" spans="1:9" ht="15" customHeight="1" hidden="1">
      <c r="A30" s="184"/>
      <c r="B30" s="185" t="s">
        <v>266</v>
      </c>
      <c r="C30" s="96">
        <v>138</v>
      </c>
      <c r="D30" s="115"/>
      <c r="E30" s="116"/>
      <c r="F30" s="172">
        <f>1717076897+128090009</f>
        <v>1845166906</v>
      </c>
      <c r="G30" s="271">
        <f>SUMIF(no,C30,tien)-SUMIF(co,C30,tien)</f>
        <v>1085855559</v>
      </c>
      <c r="H30" s="271">
        <f t="shared" si="0"/>
        <v>2931022465</v>
      </c>
      <c r="I30" s="272">
        <v>5840068673</v>
      </c>
    </row>
    <row r="31" spans="1:9" ht="15" customHeight="1" hidden="1">
      <c r="A31" s="184"/>
      <c r="B31" s="185" t="s">
        <v>267</v>
      </c>
      <c r="C31" s="115" t="s">
        <v>268</v>
      </c>
      <c r="D31" s="115"/>
      <c r="E31" s="116"/>
      <c r="F31" s="178"/>
      <c r="G31" s="271">
        <f>SUMIF(no,C31,tien)-SUMIF(co,C31,tien)</f>
        <v>0</v>
      </c>
      <c r="H31" s="271">
        <f>+F31+G31</f>
        <v>0</v>
      </c>
      <c r="I31" s="272"/>
    </row>
    <row r="32" spans="1:12" ht="15" customHeight="1" hidden="1">
      <c r="A32" s="184"/>
      <c r="B32" s="185" t="s">
        <v>269</v>
      </c>
      <c r="C32" s="115" t="s">
        <v>270</v>
      </c>
      <c r="D32" s="115"/>
      <c r="E32" s="116"/>
      <c r="F32" s="294">
        <f>414560000+45919442+223232671</f>
        <v>683712113</v>
      </c>
      <c r="G32" s="271">
        <f>SUMIF(no,C32,tien)-SUMIF(co,C32,tien)</f>
        <v>0</v>
      </c>
      <c r="H32" s="271">
        <f>+F32+G32</f>
        <v>683712113</v>
      </c>
      <c r="I32" s="272"/>
      <c r="L32" s="96">
        <v>683712113</v>
      </c>
    </row>
    <row r="33" spans="1:9" ht="15" customHeight="1">
      <c r="A33" s="184" t="s">
        <v>139</v>
      </c>
      <c r="B33" s="185" t="s">
        <v>131</v>
      </c>
      <c r="C33" s="114" t="s">
        <v>223</v>
      </c>
      <c r="D33" s="115">
        <v>139</v>
      </c>
      <c r="E33" s="116"/>
      <c r="F33" s="177">
        <v>-7655310</v>
      </c>
      <c r="G33" s="271">
        <f>-SUMIF(no,C33,tien)+SUMIF(co,C33,tien)</f>
        <v>0</v>
      </c>
      <c r="H33" s="271">
        <f t="shared" si="0"/>
        <v>-7655310</v>
      </c>
      <c r="I33" s="272">
        <v>0</v>
      </c>
    </row>
    <row r="34" spans="1:13" ht="15" customHeight="1">
      <c r="A34" s="183" t="s">
        <v>138</v>
      </c>
      <c r="B34" s="188" t="s">
        <v>132</v>
      </c>
      <c r="C34" s="114"/>
      <c r="D34" s="117">
        <v>140</v>
      </c>
      <c r="E34" s="116" t="s">
        <v>171</v>
      </c>
      <c r="F34" s="174">
        <f>F35+F44</f>
        <v>108781701696</v>
      </c>
      <c r="G34" s="269">
        <f>G35+G44</f>
        <v>67529223</v>
      </c>
      <c r="H34" s="269">
        <f>H35+H44</f>
        <v>108849230919</v>
      </c>
      <c r="I34" s="270">
        <f>I35+I44</f>
        <v>112032631347</v>
      </c>
      <c r="K34" s="96">
        <f>6028.02-4.16</f>
        <v>6023.860000000001</v>
      </c>
      <c r="L34" s="96">
        <f>K34*16101</f>
        <v>96990169.86000001</v>
      </c>
      <c r="M34" s="96">
        <f>6028.02*16101</f>
        <v>97057150.02000001</v>
      </c>
    </row>
    <row r="35" spans="1:11" ht="15" customHeight="1">
      <c r="A35" s="184" t="s">
        <v>137</v>
      </c>
      <c r="B35" s="185" t="s">
        <v>132</v>
      </c>
      <c r="C35" s="114"/>
      <c r="D35" s="115">
        <v>141</v>
      </c>
      <c r="E35" s="116"/>
      <c r="F35" s="177">
        <f>SUM(F36:F43)</f>
        <v>108781701696</v>
      </c>
      <c r="G35" s="271">
        <f>SUM(G36:G43)</f>
        <v>67529223</v>
      </c>
      <c r="H35" s="271">
        <f>SUM(H36:H43)</f>
        <v>108849230919</v>
      </c>
      <c r="I35" s="272">
        <f>SUM(I36:I43)</f>
        <v>112032631347</v>
      </c>
      <c r="K35" s="96">
        <v>108849230919</v>
      </c>
    </row>
    <row r="36" spans="1:9" ht="15" customHeight="1" hidden="1">
      <c r="A36" s="184"/>
      <c r="B36" s="185" t="s">
        <v>271</v>
      </c>
      <c r="C36" s="114">
        <v>151</v>
      </c>
      <c r="D36" s="115"/>
      <c r="E36" s="116"/>
      <c r="F36" s="177"/>
      <c r="G36" s="271">
        <f aca="true" t="shared" si="1" ref="G36:G43">SUMIF(no,C36,tien)-SUMIF(co,C36,tien)</f>
        <v>0</v>
      </c>
      <c r="H36" s="271">
        <f aca="true" t="shared" si="2" ref="H36:H43">+F36+G36</f>
        <v>0</v>
      </c>
      <c r="I36" s="272"/>
    </row>
    <row r="37" spans="1:11" ht="15" customHeight="1" hidden="1">
      <c r="A37" s="184"/>
      <c r="B37" s="185" t="s">
        <v>272</v>
      </c>
      <c r="C37" s="114">
        <v>152</v>
      </c>
      <c r="D37" s="115"/>
      <c r="E37" s="116"/>
      <c r="F37" s="177">
        <v>26669322072</v>
      </c>
      <c r="G37" s="271">
        <f t="shared" si="1"/>
        <v>-31976000</v>
      </c>
      <c r="H37" s="271">
        <f t="shared" si="2"/>
        <v>26637346072</v>
      </c>
      <c r="I37" s="272">
        <v>15164875069</v>
      </c>
      <c r="K37" s="96">
        <v>26637346072</v>
      </c>
    </row>
    <row r="38" spans="1:11" ht="15" customHeight="1" hidden="1">
      <c r="A38" s="184"/>
      <c r="B38" s="185" t="s">
        <v>273</v>
      </c>
      <c r="C38" s="114">
        <v>153</v>
      </c>
      <c r="D38" s="115"/>
      <c r="E38" s="116"/>
      <c r="F38" s="177">
        <v>136574227</v>
      </c>
      <c r="G38" s="271">
        <f t="shared" si="1"/>
        <v>31976000</v>
      </c>
      <c r="H38" s="271">
        <f t="shared" si="2"/>
        <v>168550227</v>
      </c>
      <c r="I38" s="272">
        <v>92810410</v>
      </c>
      <c r="K38" s="96">
        <v>168550227</v>
      </c>
    </row>
    <row r="39" spans="1:11" ht="15" customHeight="1" hidden="1">
      <c r="A39" s="184"/>
      <c r="B39" s="185" t="s">
        <v>274</v>
      </c>
      <c r="C39" s="114">
        <v>154</v>
      </c>
      <c r="D39" s="115"/>
      <c r="E39" s="116"/>
      <c r="F39" s="177">
        <v>69090348294</v>
      </c>
      <c r="G39" s="271">
        <f t="shared" si="1"/>
        <v>68430871</v>
      </c>
      <c r="H39" s="271">
        <f t="shared" si="2"/>
        <v>69158779165</v>
      </c>
      <c r="I39" s="272">
        <v>81995770000</v>
      </c>
      <c r="K39" s="96">
        <v>69158779165</v>
      </c>
    </row>
    <row r="40" spans="1:11" ht="15" customHeight="1" hidden="1">
      <c r="A40" s="184"/>
      <c r="B40" s="185" t="s">
        <v>275</v>
      </c>
      <c r="C40" s="114">
        <v>155</v>
      </c>
      <c r="D40" s="115"/>
      <c r="E40" s="116"/>
      <c r="F40" s="177">
        <v>12885457103</v>
      </c>
      <c r="G40" s="271">
        <f t="shared" si="1"/>
        <v>-901648</v>
      </c>
      <c r="H40" s="271">
        <f t="shared" si="2"/>
        <v>12884555455</v>
      </c>
      <c r="I40" s="272">
        <v>14779175868</v>
      </c>
      <c r="K40" s="96">
        <v>12884555455</v>
      </c>
    </row>
    <row r="41" spans="1:9" ht="15" customHeight="1" hidden="1">
      <c r="A41" s="184"/>
      <c r="B41" s="185" t="s">
        <v>276</v>
      </c>
      <c r="C41" s="114">
        <v>156</v>
      </c>
      <c r="D41" s="115"/>
      <c r="E41" s="116"/>
      <c r="F41" s="177"/>
      <c r="G41" s="271">
        <f t="shared" si="1"/>
        <v>0</v>
      </c>
      <c r="H41" s="271">
        <f t="shared" si="2"/>
        <v>0</v>
      </c>
      <c r="I41" s="272"/>
    </row>
    <row r="42" spans="1:9" ht="15" customHeight="1" hidden="1">
      <c r="A42" s="184"/>
      <c r="B42" s="185" t="s">
        <v>277</v>
      </c>
      <c r="C42" s="114">
        <v>157</v>
      </c>
      <c r="D42" s="115"/>
      <c r="E42" s="116"/>
      <c r="F42" s="177"/>
      <c r="G42" s="271">
        <f t="shared" si="1"/>
        <v>0</v>
      </c>
      <c r="H42" s="271">
        <f t="shared" si="2"/>
        <v>0</v>
      </c>
      <c r="I42" s="272"/>
    </row>
    <row r="43" spans="1:9" ht="15" customHeight="1" hidden="1">
      <c r="A43" s="184"/>
      <c r="B43" s="185" t="s">
        <v>278</v>
      </c>
      <c r="C43" s="114">
        <v>158</v>
      </c>
      <c r="D43" s="115"/>
      <c r="E43" s="116"/>
      <c r="F43" s="177"/>
      <c r="G43" s="271">
        <f t="shared" si="1"/>
        <v>0</v>
      </c>
      <c r="H43" s="271">
        <f t="shared" si="2"/>
        <v>0</v>
      </c>
      <c r="I43" s="272"/>
    </row>
    <row r="44" spans="1:9" ht="15" customHeight="1">
      <c r="A44" s="184" t="s">
        <v>136</v>
      </c>
      <c r="B44" s="185" t="s">
        <v>133</v>
      </c>
      <c r="C44" s="114">
        <v>159</v>
      </c>
      <c r="D44" s="115">
        <v>149</v>
      </c>
      <c r="E44" s="116"/>
      <c r="F44" s="177"/>
      <c r="G44" s="271">
        <f>-SUMIF(no,C44,tien)+SUMIF(co,C44,tien)</f>
        <v>0</v>
      </c>
      <c r="H44" s="271">
        <f>+F44+G44</f>
        <v>0</v>
      </c>
      <c r="I44" s="272"/>
    </row>
    <row r="45" spans="1:13" ht="15" customHeight="1">
      <c r="A45" s="183" t="s">
        <v>135</v>
      </c>
      <c r="B45" s="188" t="s">
        <v>134</v>
      </c>
      <c r="C45" s="114"/>
      <c r="D45" s="117">
        <v>150</v>
      </c>
      <c r="E45" s="116"/>
      <c r="F45" s="174">
        <f>SUM(F46:F49)</f>
        <v>5224002691</v>
      </c>
      <c r="G45" s="269">
        <f>SUM(G46:G49)</f>
        <v>-1028047008</v>
      </c>
      <c r="H45" s="269">
        <f>SUM(H46:H49)</f>
        <v>4195955683</v>
      </c>
      <c r="I45" s="270">
        <f>SUM(I46:I49)</f>
        <v>156202879</v>
      </c>
      <c r="L45" s="96">
        <v>91667591</v>
      </c>
      <c r="M45" s="96">
        <v>29230343</v>
      </c>
    </row>
    <row r="46" spans="1:13" ht="15" customHeight="1">
      <c r="A46" s="184" t="s">
        <v>137</v>
      </c>
      <c r="B46" s="185" t="s">
        <v>147</v>
      </c>
      <c r="C46" s="114">
        <v>142</v>
      </c>
      <c r="D46" s="115">
        <v>151</v>
      </c>
      <c r="E46" s="116" t="s">
        <v>172</v>
      </c>
      <c r="F46" s="173">
        <v>5224002691</v>
      </c>
      <c r="G46" s="271">
        <f>SUMIF(no,C46,tien)-SUMIF(co,C46,tien)</f>
        <v>-1028047008</v>
      </c>
      <c r="H46" s="271">
        <f>+F46+G46</f>
        <v>4195955683</v>
      </c>
      <c r="I46" s="272">
        <v>156202879</v>
      </c>
      <c r="L46" s="96">
        <f>L34-L45</f>
        <v>5322578.860000014</v>
      </c>
      <c r="M46" s="96">
        <v>201797630</v>
      </c>
    </row>
    <row r="47" spans="1:13" ht="15" customHeight="1" hidden="1">
      <c r="A47" s="184" t="s">
        <v>136</v>
      </c>
      <c r="B47" s="185" t="s">
        <v>148</v>
      </c>
      <c r="C47" s="114">
        <v>133</v>
      </c>
      <c r="D47" s="115">
        <v>152</v>
      </c>
      <c r="E47" s="116"/>
      <c r="F47" s="173"/>
      <c r="G47" s="271">
        <f>SUMIF(no,C47,tien)-SUMIF(co,C47,tien)</f>
        <v>0</v>
      </c>
      <c r="H47" s="271">
        <f>+F47+G47</f>
        <v>0</v>
      </c>
      <c r="I47" s="272"/>
      <c r="L47" s="168">
        <f>4.16*16101</f>
        <v>66980.16</v>
      </c>
      <c r="M47" s="96">
        <v>53409672</v>
      </c>
    </row>
    <row r="48" spans="1:14" ht="15" customHeight="1">
      <c r="A48" s="184" t="s">
        <v>136</v>
      </c>
      <c r="B48" s="185" t="s">
        <v>407</v>
      </c>
      <c r="C48" s="114" t="s">
        <v>222</v>
      </c>
      <c r="D48" s="115">
        <v>152</v>
      </c>
      <c r="E48" s="116"/>
      <c r="F48" s="177"/>
      <c r="G48" s="271">
        <f>SUMIF(no,C48,tien)-SUMIF(co,C48,tien)</f>
        <v>0</v>
      </c>
      <c r="H48" s="271">
        <f>+F48+G48</f>
        <v>0</v>
      </c>
      <c r="I48" s="272"/>
      <c r="M48" s="96">
        <f>SUM(M34:M47)</f>
        <v>381494795.02</v>
      </c>
      <c r="N48" s="96">
        <f>H15-M48</f>
        <v>809024388.98</v>
      </c>
    </row>
    <row r="49" spans="1:9" ht="15" customHeight="1">
      <c r="A49" s="184" t="s">
        <v>144</v>
      </c>
      <c r="B49" s="185" t="s">
        <v>134</v>
      </c>
      <c r="C49" s="114"/>
      <c r="D49" s="115">
        <v>158</v>
      </c>
      <c r="E49" s="116"/>
      <c r="F49" s="177"/>
      <c r="G49" s="271">
        <f>SUM(G50:G52)</f>
        <v>0</v>
      </c>
      <c r="H49" s="271">
        <f>SUM(H50:H52)</f>
        <v>0</v>
      </c>
      <c r="I49" s="272">
        <f>SUM(I50:I52)</f>
        <v>0</v>
      </c>
    </row>
    <row r="50" spans="1:9" ht="15" customHeight="1" hidden="1">
      <c r="A50" s="184"/>
      <c r="B50" s="185" t="s">
        <v>279</v>
      </c>
      <c r="C50" s="114">
        <v>141</v>
      </c>
      <c r="D50" s="115"/>
      <c r="E50" s="116"/>
      <c r="F50" s="177"/>
      <c r="G50" s="271">
        <f>SUMIF(no,C50,tien)-SUMIF(co,C50,tien)</f>
        <v>0</v>
      </c>
      <c r="H50" s="271">
        <f>+F50+G50</f>
        <v>0</v>
      </c>
      <c r="I50" s="272"/>
    </row>
    <row r="51" spans="1:9" ht="15" customHeight="1" hidden="1">
      <c r="A51" s="184"/>
      <c r="B51" s="185" t="s">
        <v>280</v>
      </c>
      <c r="C51" s="114">
        <v>144</v>
      </c>
      <c r="D51" s="115"/>
      <c r="E51" s="116"/>
      <c r="F51" s="177"/>
      <c r="G51" s="271">
        <f>SUMIF(no,C51,tien)-SUMIF(co,C51,tien)</f>
        <v>0</v>
      </c>
      <c r="H51" s="271">
        <f>+F51+G51</f>
        <v>0</v>
      </c>
      <c r="I51" s="272"/>
    </row>
    <row r="52" spans="1:9" ht="15" customHeight="1" hidden="1">
      <c r="A52" s="184"/>
      <c r="B52" s="185" t="s">
        <v>281</v>
      </c>
      <c r="C52" s="114">
        <v>1381</v>
      </c>
      <c r="D52" s="115"/>
      <c r="E52" s="116"/>
      <c r="F52" s="177"/>
      <c r="G52" s="271">
        <f>SUMIF(no,C52,tien)-SUMIF(co,C52,tien)</f>
        <v>0</v>
      </c>
      <c r="H52" s="271">
        <f>+F52+G52</f>
        <v>0</v>
      </c>
      <c r="I52" s="272"/>
    </row>
    <row r="53" spans="1:9" ht="18" customHeight="1">
      <c r="A53" s="183" t="s">
        <v>149</v>
      </c>
      <c r="B53" s="280" t="s">
        <v>150</v>
      </c>
      <c r="C53" s="114"/>
      <c r="D53" s="117">
        <v>200</v>
      </c>
      <c r="E53" s="116"/>
      <c r="F53" s="174">
        <f>F54+F63+F74+F77+F84</f>
        <v>349800847157</v>
      </c>
      <c r="G53" s="269">
        <f>G54+G63+G74+G77+G84</f>
        <v>1186893920</v>
      </c>
      <c r="H53" s="269">
        <f>H54+H63+H74+H77+H84</f>
        <v>350987741077</v>
      </c>
      <c r="I53" s="270">
        <f>I54+I63+I74+I77+I84</f>
        <v>400464460719</v>
      </c>
    </row>
    <row r="54" spans="1:9" ht="15" customHeight="1">
      <c r="A54" s="183" t="s">
        <v>141</v>
      </c>
      <c r="B54" s="188" t="s">
        <v>151</v>
      </c>
      <c r="C54" s="114"/>
      <c r="D54" s="117">
        <v>210</v>
      </c>
      <c r="E54" s="116"/>
      <c r="F54" s="174">
        <f>SUM(F55:F58)+F62</f>
        <v>800000000</v>
      </c>
      <c r="G54" s="269">
        <f>SUM(G55:G58)+G62</f>
        <v>0</v>
      </c>
      <c r="H54" s="269">
        <f>SUM(H55:H58)+H62</f>
        <v>800000000</v>
      </c>
      <c r="I54" s="270">
        <f>SUM(I55:I58)+I62</f>
        <v>800000000</v>
      </c>
    </row>
    <row r="55" spans="1:9" ht="15" customHeight="1">
      <c r="A55" s="184" t="s">
        <v>118</v>
      </c>
      <c r="B55" s="185" t="s">
        <v>152</v>
      </c>
      <c r="C55" s="114" t="s">
        <v>282</v>
      </c>
      <c r="D55" s="115">
        <v>211</v>
      </c>
      <c r="E55" s="116"/>
      <c r="F55" s="177"/>
      <c r="G55" s="271">
        <f>SUMIF(no,C55,tien)-SUMIF(co,C55,tien)</f>
        <v>0</v>
      </c>
      <c r="H55" s="271">
        <f>+F55+G55</f>
        <v>0</v>
      </c>
      <c r="I55" s="272"/>
    </row>
    <row r="56" spans="1:9" ht="15" customHeight="1" hidden="1">
      <c r="A56" s="184" t="s">
        <v>136</v>
      </c>
      <c r="B56" s="185" t="s">
        <v>153</v>
      </c>
      <c r="C56" s="114">
        <v>1361</v>
      </c>
      <c r="D56" s="115">
        <v>212</v>
      </c>
      <c r="E56" s="116"/>
      <c r="F56" s="177"/>
      <c r="G56" s="271">
        <f>SUMIF(no,C56,tien)-SUMIF(co,C56,tien)</f>
        <v>0</v>
      </c>
      <c r="H56" s="271">
        <f>+F56+G56</f>
        <v>0</v>
      </c>
      <c r="I56" s="272"/>
    </row>
    <row r="57" spans="1:9" ht="15" customHeight="1">
      <c r="A57" s="184" t="s">
        <v>136</v>
      </c>
      <c r="B57" s="185" t="s">
        <v>408</v>
      </c>
      <c r="C57" s="114" t="s">
        <v>283</v>
      </c>
      <c r="D57" s="115">
        <v>212</v>
      </c>
      <c r="E57" s="116"/>
      <c r="F57" s="177"/>
      <c r="G57" s="271">
        <f>SUMIF(no,C57,tien)-SUMIF(co,C57,tien)</f>
        <v>0</v>
      </c>
      <c r="H57" s="271">
        <f>+F57+G57</f>
        <v>0</v>
      </c>
      <c r="I57" s="272"/>
    </row>
    <row r="58" spans="1:9" ht="15" customHeight="1">
      <c r="A58" s="184" t="s">
        <v>144</v>
      </c>
      <c r="B58" s="185" t="s">
        <v>154</v>
      </c>
      <c r="C58" s="114"/>
      <c r="D58" s="115">
        <v>213</v>
      </c>
      <c r="E58" s="116" t="s">
        <v>428</v>
      </c>
      <c r="F58" s="271">
        <f>SUM(F59:F61)</f>
        <v>800000000</v>
      </c>
      <c r="G58" s="271">
        <f>SUM(G59:G61)</f>
        <v>0</v>
      </c>
      <c r="H58" s="271">
        <f>SUM(H59:H61)</f>
        <v>800000000</v>
      </c>
      <c r="I58" s="272">
        <f>SUM(I59:I61)</f>
        <v>800000000</v>
      </c>
    </row>
    <row r="59" spans="1:9" ht="15" customHeight="1" hidden="1">
      <c r="A59" s="184"/>
      <c r="B59" s="185" t="s">
        <v>286</v>
      </c>
      <c r="C59" s="114" t="s">
        <v>284</v>
      </c>
      <c r="D59" s="115"/>
      <c r="E59" s="116"/>
      <c r="F59" s="171">
        <v>800000000</v>
      </c>
      <c r="G59" s="271">
        <f>SUMIF(no,C59,tien)-SUMIF(co,C59,tien)</f>
        <v>0</v>
      </c>
      <c r="H59" s="271">
        <f>+F59+G59</f>
        <v>800000000</v>
      </c>
      <c r="I59" s="272">
        <v>800000000</v>
      </c>
    </row>
    <row r="60" spans="1:9" ht="15" customHeight="1" hidden="1">
      <c r="A60" s="184"/>
      <c r="B60" s="185" t="s">
        <v>269</v>
      </c>
      <c r="C60" s="114" t="s">
        <v>287</v>
      </c>
      <c r="D60" s="115"/>
      <c r="E60" s="116"/>
      <c r="F60" s="177"/>
      <c r="G60" s="271">
        <f>SUMIF(no,C60,tien)-SUMIF(co,C60,tien)</f>
        <v>0</v>
      </c>
      <c r="H60" s="271">
        <f>+F60+G60</f>
        <v>0</v>
      </c>
      <c r="I60" s="272"/>
    </row>
    <row r="61" spans="1:9" ht="15" customHeight="1" hidden="1">
      <c r="A61" s="184"/>
      <c r="B61" s="185" t="s">
        <v>288</v>
      </c>
      <c r="C61" s="114" t="s">
        <v>289</v>
      </c>
      <c r="D61" s="115"/>
      <c r="E61" s="116"/>
      <c r="F61" s="177"/>
      <c r="G61" s="271">
        <f>SUMIF(no,C61,tien)-SUMIF(co,C61,tien)</f>
        <v>0</v>
      </c>
      <c r="H61" s="271">
        <f>+F61+G61</f>
        <v>0</v>
      </c>
      <c r="I61" s="272"/>
    </row>
    <row r="62" spans="1:9" ht="15" customHeight="1">
      <c r="A62" s="184" t="s">
        <v>145</v>
      </c>
      <c r="B62" s="185" t="s">
        <v>175</v>
      </c>
      <c r="C62" s="114" t="s">
        <v>285</v>
      </c>
      <c r="D62" s="115">
        <v>219</v>
      </c>
      <c r="E62" s="116"/>
      <c r="F62" s="177"/>
      <c r="G62" s="271">
        <f>-SUMIF(no,C62,tien)+SUMIF(co,C62,tien)</f>
        <v>0</v>
      </c>
      <c r="H62" s="271">
        <f>+F62+G62</f>
        <v>0</v>
      </c>
      <c r="I62" s="272"/>
    </row>
    <row r="63" spans="1:9" ht="15" customHeight="1">
      <c r="A63" s="183" t="s">
        <v>122</v>
      </c>
      <c r="B63" s="188" t="s">
        <v>155</v>
      </c>
      <c r="C63" s="114"/>
      <c r="D63" s="117">
        <v>220</v>
      </c>
      <c r="E63" s="116"/>
      <c r="F63" s="174">
        <f>F64+F67+F70+F73</f>
        <v>347186370100</v>
      </c>
      <c r="G63" s="269">
        <f>G64+G67+G70+G73</f>
        <v>-37370176</v>
      </c>
      <c r="H63" s="269">
        <f>H64+H67+H70+H73</f>
        <v>347148999924</v>
      </c>
      <c r="I63" s="270">
        <f>I64+I67+I70+I73</f>
        <v>395483195090</v>
      </c>
    </row>
    <row r="64" spans="1:9" ht="15" customHeight="1">
      <c r="A64" s="184" t="s">
        <v>137</v>
      </c>
      <c r="B64" s="185" t="s">
        <v>156</v>
      </c>
      <c r="C64" s="114"/>
      <c r="D64" s="115">
        <v>221</v>
      </c>
      <c r="E64" s="116" t="s">
        <v>429</v>
      </c>
      <c r="F64" s="177">
        <f>F65+F66</f>
        <v>343028847471</v>
      </c>
      <c r="G64" s="271">
        <f>G65+G66</f>
        <v>1881720</v>
      </c>
      <c r="H64" s="271">
        <f>H65+H66</f>
        <v>343030729191</v>
      </c>
      <c r="I64" s="272">
        <f>I65+I66</f>
        <v>392318790344</v>
      </c>
    </row>
    <row r="65" spans="1:9" ht="15" customHeight="1">
      <c r="A65" s="186"/>
      <c r="B65" s="187" t="s">
        <v>157</v>
      </c>
      <c r="C65" s="114">
        <v>211</v>
      </c>
      <c r="D65" s="115">
        <v>222</v>
      </c>
      <c r="E65" s="116"/>
      <c r="F65" s="171">
        <v>653208558720</v>
      </c>
      <c r="G65" s="271">
        <f>SUMIF(no,C65,tien)-SUMIF(co,C65,tien)</f>
        <v>0</v>
      </c>
      <c r="H65" s="271">
        <f>+F65+G65</f>
        <v>653208558720</v>
      </c>
      <c r="I65" s="272">
        <v>621222347883</v>
      </c>
    </row>
    <row r="66" spans="1:9" ht="15" customHeight="1">
      <c r="A66" s="186"/>
      <c r="B66" s="187" t="s">
        <v>176</v>
      </c>
      <c r="C66" s="114">
        <v>2141</v>
      </c>
      <c r="D66" s="115">
        <v>223</v>
      </c>
      <c r="E66" s="116"/>
      <c r="F66" s="171">
        <v>-310179711249</v>
      </c>
      <c r="G66" s="271">
        <f>SUMIF(no,C66,tien)-SUMIF(co,C66,tien)</f>
        <v>1881720</v>
      </c>
      <c r="H66" s="271">
        <f>+F66+G66</f>
        <v>-310177829529</v>
      </c>
      <c r="I66" s="272">
        <v>-228903557539</v>
      </c>
    </row>
    <row r="67" spans="1:9" ht="15" customHeight="1">
      <c r="A67" s="184" t="s">
        <v>136</v>
      </c>
      <c r="B67" s="185" t="s">
        <v>158</v>
      </c>
      <c r="C67" s="114"/>
      <c r="D67" s="115">
        <v>224</v>
      </c>
      <c r="E67" s="116"/>
      <c r="F67" s="177">
        <f>F68+F69</f>
        <v>0</v>
      </c>
      <c r="G67" s="271">
        <f>G68+G69</f>
        <v>0</v>
      </c>
      <c r="H67" s="271">
        <f>H68+H69</f>
        <v>0</v>
      </c>
      <c r="I67" s="272">
        <f>I68+I69</f>
        <v>0</v>
      </c>
    </row>
    <row r="68" spans="1:9" ht="15" customHeight="1">
      <c r="A68" s="184"/>
      <c r="B68" s="187" t="s">
        <v>157</v>
      </c>
      <c r="C68" s="114">
        <v>212</v>
      </c>
      <c r="D68" s="115">
        <v>225</v>
      </c>
      <c r="E68" s="116"/>
      <c r="F68" s="177"/>
      <c r="G68" s="271">
        <f>SUMIF(no,C68,tien)-SUMIF(co,C68,tien)</f>
        <v>0</v>
      </c>
      <c r="H68" s="271">
        <f>+F68+G68</f>
        <v>0</v>
      </c>
      <c r="I68" s="272"/>
    </row>
    <row r="69" spans="1:9" ht="15" customHeight="1">
      <c r="A69" s="184"/>
      <c r="B69" s="187" t="s">
        <v>177</v>
      </c>
      <c r="C69" s="114">
        <v>2142</v>
      </c>
      <c r="D69" s="115">
        <v>226</v>
      </c>
      <c r="E69" s="116"/>
      <c r="F69" s="177"/>
      <c r="G69" s="271">
        <f>-SUMIF(no,C69,tien)+SUMIF(co,C69,tien)</f>
        <v>0</v>
      </c>
      <c r="H69" s="271">
        <f>+F69+G69</f>
        <v>0</v>
      </c>
      <c r="I69" s="272"/>
    </row>
    <row r="70" spans="1:9" ht="15" customHeight="1">
      <c r="A70" s="184" t="s">
        <v>144</v>
      </c>
      <c r="B70" s="185" t="s">
        <v>160</v>
      </c>
      <c r="C70" s="114"/>
      <c r="D70" s="115">
        <v>227</v>
      </c>
      <c r="E70" s="116" t="s">
        <v>173</v>
      </c>
      <c r="F70" s="177">
        <f>F71+F72</f>
        <v>15000000</v>
      </c>
      <c r="G70" s="271">
        <f>G71+G72</f>
        <v>-1881720</v>
      </c>
      <c r="H70" s="271">
        <f>H71+H72</f>
        <v>13118280</v>
      </c>
      <c r="I70" s="272">
        <f>I71+I72</f>
        <v>0</v>
      </c>
    </row>
    <row r="71" spans="1:9" ht="15" customHeight="1">
      <c r="A71" s="184"/>
      <c r="B71" s="187" t="s">
        <v>157</v>
      </c>
      <c r="C71" s="114">
        <v>213</v>
      </c>
      <c r="D71" s="115">
        <v>228</v>
      </c>
      <c r="E71" s="116"/>
      <c r="F71" s="177">
        <v>427601645</v>
      </c>
      <c r="G71" s="271">
        <f>SUMIF(no,C71,tien)-SUMIF(co,C71,tien)</f>
        <v>0</v>
      </c>
      <c r="H71" s="271">
        <f>+F71+G71</f>
        <v>427601645</v>
      </c>
      <c r="I71" s="316">
        <f>412601645</f>
        <v>412601645</v>
      </c>
    </row>
    <row r="72" spans="1:9" ht="15" customHeight="1">
      <c r="A72" s="184"/>
      <c r="B72" s="187" t="s">
        <v>178</v>
      </c>
      <c r="C72" s="114">
        <v>2143</v>
      </c>
      <c r="D72" s="115">
        <v>229</v>
      </c>
      <c r="E72" s="116"/>
      <c r="F72" s="178">
        <v>-412601645</v>
      </c>
      <c r="G72" s="271">
        <f>-(SUMIF(no,C72,tien)+SUMIF(co,C72,tien))</f>
        <v>-1881720</v>
      </c>
      <c r="H72" s="271">
        <f>+F72+G72</f>
        <v>-414483365</v>
      </c>
      <c r="I72" s="316">
        <v>-412601645</v>
      </c>
    </row>
    <row r="73" spans="1:9" ht="15" customHeight="1">
      <c r="A73" s="184" t="s">
        <v>145</v>
      </c>
      <c r="B73" s="185" t="s">
        <v>161</v>
      </c>
      <c r="C73" s="114">
        <v>241</v>
      </c>
      <c r="D73" s="115">
        <v>230</v>
      </c>
      <c r="E73" s="116" t="s">
        <v>430</v>
      </c>
      <c r="F73" s="177">
        <v>4142522629</v>
      </c>
      <c r="G73" s="271">
        <f>SUMIF(no,C73,tien)-SUMIF(co,C73,tien)</f>
        <v>-37370176</v>
      </c>
      <c r="H73" s="271">
        <f>G73+F73</f>
        <v>4105152453</v>
      </c>
      <c r="I73" s="272">
        <v>3164404746</v>
      </c>
    </row>
    <row r="74" spans="1:9" ht="15" customHeight="1">
      <c r="A74" s="183" t="s">
        <v>143</v>
      </c>
      <c r="B74" s="188" t="s">
        <v>162</v>
      </c>
      <c r="C74" s="114"/>
      <c r="D74" s="117">
        <v>240</v>
      </c>
      <c r="E74" s="116"/>
      <c r="F74" s="174">
        <f>F75+F76</f>
        <v>0</v>
      </c>
      <c r="G74" s="269">
        <f>G75+G76</f>
        <v>0</v>
      </c>
      <c r="H74" s="269">
        <f>H75+H76</f>
        <v>0</v>
      </c>
      <c r="I74" s="270">
        <f>I75+I76</f>
        <v>0</v>
      </c>
    </row>
    <row r="75" spans="1:9" ht="15" customHeight="1" hidden="1">
      <c r="A75" s="186"/>
      <c r="B75" s="187" t="s">
        <v>157</v>
      </c>
      <c r="C75" s="114">
        <v>217</v>
      </c>
      <c r="D75" s="115">
        <v>241</v>
      </c>
      <c r="E75" s="116"/>
      <c r="F75" s="177"/>
      <c r="G75" s="271">
        <f>SUMIF(no,C75,tien)-SUMIF(co,C75,tien)</f>
        <v>0</v>
      </c>
      <c r="H75" s="271">
        <f>+F75+G75</f>
        <v>0</v>
      </c>
      <c r="I75" s="272"/>
    </row>
    <row r="76" spans="1:9" ht="15" customHeight="1" hidden="1">
      <c r="A76" s="186"/>
      <c r="B76" s="187" t="s">
        <v>159</v>
      </c>
      <c r="C76" s="114">
        <v>2147</v>
      </c>
      <c r="D76" s="115">
        <v>242</v>
      </c>
      <c r="E76" s="116"/>
      <c r="F76" s="177"/>
      <c r="G76" s="271">
        <f>-SUMIF(no,C76,tien)+SUMIF(co,C76,tien)</f>
        <v>0</v>
      </c>
      <c r="H76" s="271">
        <f>+F76+G76</f>
        <v>0</v>
      </c>
      <c r="I76" s="272"/>
    </row>
    <row r="77" spans="1:9" ht="15" customHeight="1">
      <c r="A77" s="183" t="s">
        <v>138</v>
      </c>
      <c r="B77" s="188" t="s">
        <v>163</v>
      </c>
      <c r="C77" s="114"/>
      <c r="D77" s="117">
        <v>250</v>
      </c>
      <c r="E77" s="116"/>
      <c r="F77" s="174">
        <f>SUM(F78:F83)</f>
        <v>100000000</v>
      </c>
      <c r="G77" s="269">
        <f>SUM(G78:G83)</f>
        <v>0</v>
      </c>
      <c r="H77" s="269">
        <f>SUM(H78:H83)</f>
        <v>100000000</v>
      </c>
      <c r="I77" s="270">
        <f>SUM(I78:I83)</f>
        <v>0</v>
      </c>
    </row>
    <row r="78" spans="1:9" ht="15" customHeight="1">
      <c r="A78" s="184" t="s">
        <v>137</v>
      </c>
      <c r="B78" s="185" t="s">
        <v>164</v>
      </c>
      <c r="C78" s="114">
        <v>221</v>
      </c>
      <c r="D78" s="115">
        <v>251</v>
      </c>
      <c r="E78" s="116"/>
      <c r="F78" s="177"/>
      <c r="G78" s="271">
        <f>SUMIF(no,C78,tien)-SUMIF(co,C78,tien)</f>
        <v>0</v>
      </c>
      <c r="H78" s="271">
        <f>+F78+G78</f>
        <v>0</v>
      </c>
      <c r="I78" s="272"/>
    </row>
    <row r="79" spans="1:9" ht="15" customHeight="1" hidden="1">
      <c r="A79" s="184" t="s">
        <v>136</v>
      </c>
      <c r="B79" s="185" t="s">
        <v>165</v>
      </c>
      <c r="C79" s="114"/>
      <c r="D79" s="115">
        <v>252</v>
      </c>
      <c r="E79" s="116"/>
      <c r="F79" s="177">
        <f>SUM(F80:F81)</f>
        <v>0</v>
      </c>
      <c r="G79" s="271">
        <f>SUM(G80:G81)</f>
        <v>0</v>
      </c>
      <c r="H79" s="271">
        <f>SUM(H80:H81)</f>
        <v>0</v>
      </c>
      <c r="I79" s="272">
        <f>SUM(I80:I81)</f>
        <v>0</v>
      </c>
    </row>
    <row r="80" spans="1:9" ht="15" customHeight="1" hidden="1">
      <c r="A80" s="184"/>
      <c r="B80" s="185" t="s">
        <v>290</v>
      </c>
      <c r="C80" s="114">
        <v>222</v>
      </c>
      <c r="D80" s="115"/>
      <c r="E80" s="116"/>
      <c r="F80" s="177"/>
      <c r="G80" s="271">
        <f>SUMIF(no,C80,tien)-SUMIF(co,C80,tien)</f>
        <v>0</v>
      </c>
      <c r="H80" s="271">
        <f>+F80+G80</f>
        <v>0</v>
      </c>
      <c r="I80" s="272"/>
    </row>
    <row r="81" spans="1:9" ht="15" customHeight="1" hidden="1">
      <c r="A81" s="184"/>
      <c r="B81" s="185" t="s">
        <v>291</v>
      </c>
      <c r="C81" s="114">
        <v>223</v>
      </c>
      <c r="D81" s="115"/>
      <c r="E81" s="116"/>
      <c r="F81" s="177"/>
      <c r="G81" s="271">
        <f>SUMIF(no,C81,tien)-SUMIF(co,C81,tien)</f>
        <v>0</v>
      </c>
      <c r="H81" s="271">
        <f>+F81+G81</f>
        <v>0</v>
      </c>
      <c r="I81" s="272"/>
    </row>
    <row r="82" spans="1:9" ht="15" customHeight="1">
      <c r="A82" s="184" t="s">
        <v>144</v>
      </c>
      <c r="B82" s="185" t="s">
        <v>166</v>
      </c>
      <c r="C82" s="114">
        <v>228</v>
      </c>
      <c r="D82" s="115">
        <v>258</v>
      </c>
      <c r="E82" s="116" t="s">
        <v>431</v>
      </c>
      <c r="F82" s="177">
        <v>100000000</v>
      </c>
      <c r="G82" s="271">
        <f>SUMIF(no,C82,tien)-SUMIF(co,C82,tien)</f>
        <v>0</v>
      </c>
      <c r="H82" s="271">
        <f>+F82+G82</f>
        <v>100000000</v>
      </c>
      <c r="I82" s="272">
        <v>0</v>
      </c>
    </row>
    <row r="83" spans="1:9" ht="15" customHeight="1">
      <c r="A83" s="184" t="s">
        <v>145</v>
      </c>
      <c r="B83" s="185" t="s">
        <v>167</v>
      </c>
      <c r="C83" s="114">
        <v>229</v>
      </c>
      <c r="D83" s="115">
        <v>259</v>
      </c>
      <c r="E83" s="116"/>
      <c r="F83" s="177"/>
      <c r="G83" s="271">
        <f>-SUMIF(no,C83,tien)+SUMIF(co,C83,tien)</f>
        <v>0</v>
      </c>
      <c r="H83" s="271">
        <f>+F83+G83</f>
        <v>0</v>
      </c>
      <c r="I83" s="272">
        <v>0</v>
      </c>
    </row>
    <row r="84" spans="1:9" ht="15" customHeight="1">
      <c r="A84" s="183" t="s">
        <v>135</v>
      </c>
      <c r="B84" s="188" t="s">
        <v>168</v>
      </c>
      <c r="C84" s="114"/>
      <c r="D84" s="117">
        <v>260</v>
      </c>
      <c r="E84" s="116"/>
      <c r="F84" s="174">
        <f>SUM(F85:F87)</f>
        <v>1714477057</v>
      </c>
      <c r="G84" s="269">
        <f>SUM(G85:G87)</f>
        <v>1224264096</v>
      </c>
      <c r="H84" s="269">
        <f>SUM(H85:H87)</f>
        <v>2938741153</v>
      </c>
      <c r="I84" s="270">
        <f>SUM(I85:I87)</f>
        <v>4181265629</v>
      </c>
    </row>
    <row r="85" spans="1:10" ht="15" customHeight="1">
      <c r="A85" s="184" t="s">
        <v>137</v>
      </c>
      <c r="B85" s="185" t="s">
        <v>169</v>
      </c>
      <c r="C85" s="114">
        <v>242</v>
      </c>
      <c r="D85" s="115">
        <v>261</v>
      </c>
      <c r="E85" s="116" t="s">
        <v>432</v>
      </c>
      <c r="F85" s="177">
        <v>1714477057</v>
      </c>
      <c r="G85" s="271">
        <f>SUMIF(no,C85,tien)-SUMIF(co,C85,tien)</f>
        <v>1224264096</v>
      </c>
      <c r="H85" s="271">
        <f>+F85+G85</f>
        <v>2938741153</v>
      </c>
      <c r="I85" s="272">
        <v>4181265629</v>
      </c>
      <c r="J85" s="96">
        <f>I85-H85</f>
        <v>1242524476</v>
      </c>
    </row>
    <row r="86" spans="1:9" ht="15" customHeight="1">
      <c r="A86" s="184" t="s">
        <v>136</v>
      </c>
      <c r="B86" s="185" t="s">
        <v>170</v>
      </c>
      <c r="C86" s="114">
        <v>243</v>
      </c>
      <c r="D86" s="115">
        <v>262</v>
      </c>
      <c r="E86" s="116"/>
      <c r="F86" s="177"/>
      <c r="G86" s="271">
        <f>SUMIF(no,C86,tien)-SUMIF(co,C86,tien)</f>
        <v>0</v>
      </c>
      <c r="H86" s="271">
        <f>+F86+G86</f>
        <v>0</v>
      </c>
      <c r="I86" s="272">
        <v>0</v>
      </c>
    </row>
    <row r="87" spans="1:9" ht="15" customHeight="1" hidden="1">
      <c r="A87" s="184" t="s">
        <v>144</v>
      </c>
      <c r="B87" s="185" t="s">
        <v>168</v>
      </c>
      <c r="C87" s="114">
        <v>244</v>
      </c>
      <c r="D87" s="115">
        <v>268</v>
      </c>
      <c r="E87" s="116"/>
      <c r="F87" s="177"/>
      <c r="G87" s="271">
        <f>SUMIF(no,C87,tien)-SUMIF(co,C87,tien)</f>
        <v>0</v>
      </c>
      <c r="H87" s="271">
        <f>+F87+G87</f>
        <v>0</v>
      </c>
      <c r="I87" s="272">
        <v>0</v>
      </c>
    </row>
    <row r="88" spans="1:9" ht="20.25" customHeight="1" thickBot="1">
      <c r="A88" s="189"/>
      <c r="B88" s="281" t="s">
        <v>307</v>
      </c>
      <c r="C88" s="120"/>
      <c r="D88" s="121">
        <v>270</v>
      </c>
      <c r="E88" s="122"/>
      <c r="F88" s="180">
        <f>F11+F53</f>
        <v>569153594452</v>
      </c>
      <c r="G88" s="277">
        <f>G11+G53</f>
        <v>272963635</v>
      </c>
      <c r="H88" s="277">
        <f>H11+H53</f>
        <v>569426558087</v>
      </c>
      <c r="I88" s="278">
        <f>I11+I53</f>
        <v>621890977828</v>
      </c>
    </row>
    <row r="89" spans="1:9" ht="18" customHeight="1" thickTop="1">
      <c r="A89" s="216"/>
      <c r="B89" s="282"/>
      <c r="C89" s="217"/>
      <c r="D89" s="216"/>
      <c r="E89" s="218"/>
      <c r="F89" s="219"/>
      <c r="G89" s="219"/>
      <c r="H89" s="220"/>
      <c r="I89" s="220"/>
    </row>
    <row r="90" spans="1:9" ht="5.25" customHeight="1">
      <c r="A90" s="105"/>
      <c r="D90" s="105"/>
      <c r="F90" s="181"/>
      <c r="G90" s="181"/>
      <c r="H90" s="182"/>
      <c r="I90" s="182"/>
    </row>
    <row r="91" spans="1:9" ht="18" customHeight="1">
      <c r="A91" s="331" t="s">
        <v>225</v>
      </c>
      <c r="B91" s="331"/>
      <c r="C91" s="331"/>
      <c r="D91" s="331"/>
      <c r="E91" s="331"/>
      <c r="F91" s="331"/>
      <c r="G91" s="331"/>
      <c r="H91" s="331"/>
      <c r="I91" s="331"/>
    </row>
    <row r="92" spans="1:9" ht="18" customHeight="1">
      <c r="A92" s="332" t="s">
        <v>322</v>
      </c>
      <c r="B92" s="332"/>
      <c r="C92" s="332"/>
      <c r="D92" s="332"/>
      <c r="E92" s="332"/>
      <c r="F92" s="332"/>
      <c r="G92" s="332"/>
      <c r="H92" s="332"/>
      <c r="I92" s="332"/>
    </row>
    <row r="93" spans="1:9" ht="13.5" customHeight="1" thickBot="1">
      <c r="A93" s="105"/>
      <c r="D93" s="105"/>
      <c r="F93" s="181"/>
      <c r="G93" s="181"/>
      <c r="H93" s="182"/>
      <c r="I93" s="200" t="s">
        <v>260</v>
      </c>
    </row>
    <row r="94" spans="1:9" ht="30" customHeight="1" thickTop="1">
      <c r="A94" s="124" t="s">
        <v>14</v>
      </c>
      <c r="B94" s="123" t="s">
        <v>179</v>
      </c>
      <c r="C94" s="125" t="s">
        <v>7</v>
      </c>
      <c r="D94" s="123" t="s">
        <v>180</v>
      </c>
      <c r="E94" s="118" t="s">
        <v>114</v>
      </c>
      <c r="F94" s="123" t="s">
        <v>324</v>
      </c>
      <c r="G94" s="123" t="s">
        <v>115</v>
      </c>
      <c r="H94" s="123" t="s">
        <v>326</v>
      </c>
      <c r="I94" s="119" t="s">
        <v>320</v>
      </c>
    </row>
    <row r="95" spans="1:9" ht="19.5" customHeight="1">
      <c r="A95" s="183" t="s">
        <v>140</v>
      </c>
      <c r="B95" s="188" t="s">
        <v>181</v>
      </c>
      <c r="C95" s="190"/>
      <c r="D95" s="191">
        <v>300</v>
      </c>
      <c r="E95" s="192"/>
      <c r="F95" s="174">
        <f>F96+F113</f>
        <v>482392374373</v>
      </c>
      <c r="G95" s="174">
        <f>G96+G113</f>
        <v>109836018</v>
      </c>
      <c r="H95" s="269">
        <f>H96+H113</f>
        <v>482502210391</v>
      </c>
      <c r="I95" s="279">
        <f>I96+I113</f>
        <v>529331875480</v>
      </c>
    </row>
    <row r="96" spans="1:9" ht="15" customHeight="1">
      <c r="A96" s="183" t="s">
        <v>141</v>
      </c>
      <c r="B96" s="188" t="s">
        <v>182</v>
      </c>
      <c r="C96" s="190"/>
      <c r="D96" s="191">
        <v>310</v>
      </c>
      <c r="E96" s="192"/>
      <c r="F96" s="174">
        <f>F97+F100+F101+SUM(F104:F109)+F112</f>
        <v>274548987666</v>
      </c>
      <c r="G96" s="174">
        <f>G97+G100+G101+SUM(G104:G109)+G112</f>
        <v>109836018</v>
      </c>
      <c r="H96" s="269">
        <f>H97+H100+H101+SUM(H104:H109)+H112</f>
        <v>274658823684</v>
      </c>
      <c r="I96" s="270">
        <f>I97+I100+I101+SUM(I104:I109)+I112</f>
        <v>237814560112</v>
      </c>
    </row>
    <row r="97" spans="1:9" ht="15" customHeight="1">
      <c r="A97" s="184" t="s">
        <v>137</v>
      </c>
      <c r="B97" s="193" t="s">
        <v>183</v>
      </c>
      <c r="C97" s="190"/>
      <c r="D97" s="194">
        <v>311</v>
      </c>
      <c r="E97" s="192" t="s">
        <v>174</v>
      </c>
      <c r="F97" s="177">
        <f>SUM(F98:F99)</f>
        <v>128242223295</v>
      </c>
      <c r="G97" s="177">
        <f>SUM(G98:G99)</f>
        <v>0</v>
      </c>
      <c r="H97" s="271">
        <f>SUM(H98:H99)</f>
        <v>128242223295</v>
      </c>
      <c r="I97" s="272">
        <f>SUM(I98:I99)</f>
        <v>52816786268</v>
      </c>
    </row>
    <row r="98" spans="1:9" ht="15" customHeight="1" hidden="1">
      <c r="A98" s="184"/>
      <c r="B98" s="193" t="s">
        <v>292</v>
      </c>
      <c r="C98" s="190">
        <v>311</v>
      </c>
      <c r="D98" s="194"/>
      <c r="E98" s="192"/>
      <c r="F98" s="177">
        <v>93905236327</v>
      </c>
      <c r="G98" s="177">
        <f>-SUMIF(no,C98,tien)+SUMIF(co,C98,tien)</f>
        <v>0</v>
      </c>
      <c r="H98" s="271">
        <f>F98+G98</f>
        <v>93905236327</v>
      </c>
      <c r="I98" s="272">
        <v>51068133018</v>
      </c>
    </row>
    <row r="99" spans="1:9" ht="15" customHeight="1" hidden="1">
      <c r="A99" s="184"/>
      <c r="B99" s="193" t="s">
        <v>293</v>
      </c>
      <c r="C99" s="190">
        <v>315</v>
      </c>
      <c r="D99" s="194"/>
      <c r="E99" s="192"/>
      <c r="F99" s="177">
        <v>34336986968</v>
      </c>
      <c r="G99" s="177">
        <f>-SUMIF(no,C99,tien)+SUMIF(co,C99,tien)</f>
        <v>0</v>
      </c>
      <c r="H99" s="271">
        <f>F99+G99</f>
        <v>34336986968</v>
      </c>
      <c r="I99" s="272">
        <v>1748653250</v>
      </c>
    </row>
    <row r="100" spans="1:9" ht="15" customHeight="1">
      <c r="A100" s="184" t="s">
        <v>136</v>
      </c>
      <c r="B100" s="193" t="s">
        <v>184</v>
      </c>
      <c r="C100" s="190">
        <v>331</v>
      </c>
      <c r="D100" s="194">
        <v>312</v>
      </c>
      <c r="E100" s="192" t="s">
        <v>433</v>
      </c>
      <c r="F100" s="170">
        <v>47785474162</v>
      </c>
      <c r="G100" s="177">
        <f aca="true" t="shared" si="3" ref="G100:G108">-SUMIF(no,C100,tien)+SUMIF(co,C100,tien)</f>
        <v>0</v>
      </c>
      <c r="H100" s="271">
        <f aca="true" t="shared" si="4" ref="H100:H112">F100+G100</f>
        <v>47785474162</v>
      </c>
      <c r="I100" s="272">
        <v>56892355346</v>
      </c>
    </row>
    <row r="101" spans="1:9" ht="15" customHeight="1">
      <c r="A101" s="184" t="s">
        <v>144</v>
      </c>
      <c r="B101" s="185" t="s">
        <v>185</v>
      </c>
      <c r="C101" s="190"/>
      <c r="D101" s="194">
        <v>313</v>
      </c>
      <c r="E101" s="192" t="s">
        <v>433</v>
      </c>
      <c r="F101" s="271">
        <f>SUM(F102:F103)</f>
        <v>108587424</v>
      </c>
      <c r="G101" s="177">
        <f>SUM(G102:G103)</f>
        <v>0</v>
      </c>
      <c r="H101" s="271">
        <f>SUM(H102:H103)</f>
        <v>108587424</v>
      </c>
      <c r="I101" s="272">
        <f>SUM(I102:I103)</f>
        <v>44405225</v>
      </c>
    </row>
    <row r="102" spans="1:9" ht="15" customHeight="1" hidden="1">
      <c r="A102" s="184"/>
      <c r="B102" s="185" t="s">
        <v>294</v>
      </c>
      <c r="C102" s="190" t="s">
        <v>224</v>
      </c>
      <c r="D102" s="194"/>
      <c r="E102" s="192"/>
      <c r="F102" s="171">
        <v>108587424</v>
      </c>
      <c r="G102" s="177">
        <f>-SUMIF(no,C102,tien)+SUMIF(co,C102,tien)</f>
        <v>0</v>
      </c>
      <c r="H102" s="271">
        <f>F102+G102</f>
        <v>108587424</v>
      </c>
      <c r="I102" s="272">
        <v>44405225</v>
      </c>
    </row>
    <row r="103" spans="1:9" ht="15" customHeight="1" hidden="1">
      <c r="A103" s="184"/>
      <c r="B103" s="185" t="s">
        <v>295</v>
      </c>
      <c r="C103" s="190">
        <v>3387</v>
      </c>
      <c r="D103" s="194"/>
      <c r="E103" s="192"/>
      <c r="F103" s="177"/>
      <c r="G103" s="177">
        <f>-SUMIF(no,C103,tien)+SUMIF(co,C103,tien)</f>
        <v>0</v>
      </c>
      <c r="H103" s="271">
        <f>F103+G103</f>
        <v>0</v>
      </c>
      <c r="I103" s="272"/>
    </row>
    <row r="104" spans="1:9" ht="15" customHeight="1">
      <c r="A104" s="184" t="s">
        <v>145</v>
      </c>
      <c r="B104" s="185" t="s">
        <v>186</v>
      </c>
      <c r="C104" s="190">
        <v>333</v>
      </c>
      <c r="D104" s="194">
        <v>314</v>
      </c>
      <c r="E104" s="192" t="s">
        <v>231</v>
      </c>
      <c r="F104" s="170">
        <v>12618529490</v>
      </c>
      <c r="G104" s="177">
        <f>-SUMIF(no,C104,tien)+SUMIF(co,C104,tien)</f>
        <v>63438518</v>
      </c>
      <c r="H104" s="271">
        <f t="shared" si="4"/>
        <v>12681968008</v>
      </c>
      <c r="I104" s="272">
        <v>8620272507</v>
      </c>
    </row>
    <row r="105" spans="1:9" ht="15" customHeight="1">
      <c r="A105" s="184" t="s">
        <v>146</v>
      </c>
      <c r="B105" s="185" t="s">
        <v>187</v>
      </c>
      <c r="C105" s="190">
        <v>334</v>
      </c>
      <c r="D105" s="194">
        <v>315</v>
      </c>
      <c r="E105" s="192"/>
      <c r="F105" s="171">
        <v>18407181108</v>
      </c>
      <c r="G105" s="177">
        <f t="shared" si="3"/>
        <v>0</v>
      </c>
      <c r="H105" s="271">
        <f t="shared" si="4"/>
        <v>18407181108</v>
      </c>
      <c r="I105" s="272">
        <v>22842492405</v>
      </c>
    </row>
    <row r="106" spans="1:9" ht="15" customHeight="1">
      <c r="A106" s="184" t="s">
        <v>139</v>
      </c>
      <c r="B106" s="185" t="s">
        <v>188</v>
      </c>
      <c r="C106" s="190">
        <v>335</v>
      </c>
      <c r="D106" s="194">
        <v>316</v>
      </c>
      <c r="E106" s="192" t="s">
        <v>434</v>
      </c>
      <c r="F106" s="177">
        <v>112238405</v>
      </c>
      <c r="G106" s="177">
        <f t="shared" si="3"/>
        <v>0</v>
      </c>
      <c r="H106" s="271">
        <f t="shared" si="4"/>
        <v>112238405</v>
      </c>
      <c r="I106" s="272">
        <f>37700914+1780318800</f>
        <v>1818019714</v>
      </c>
    </row>
    <row r="107" spans="1:9" ht="15" customHeight="1">
      <c r="A107" s="184" t="s">
        <v>189</v>
      </c>
      <c r="B107" s="185" t="s">
        <v>190</v>
      </c>
      <c r="C107" s="190">
        <v>336</v>
      </c>
      <c r="D107" s="194">
        <v>317</v>
      </c>
      <c r="E107" s="192"/>
      <c r="F107" s="177">
        <v>63718175507</v>
      </c>
      <c r="G107" s="177">
        <f t="shared" si="3"/>
        <v>-190000</v>
      </c>
      <c r="H107" s="271">
        <f t="shared" si="4"/>
        <v>63717985507</v>
      </c>
      <c r="I107" s="272">
        <v>92423404215</v>
      </c>
    </row>
    <row r="108" spans="1:9" ht="15" customHeight="1">
      <c r="A108" s="184" t="s">
        <v>191</v>
      </c>
      <c r="B108" s="185" t="s">
        <v>192</v>
      </c>
      <c r="C108" s="190">
        <v>337</v>
      </c>
      <c r="D108" s="194">
        <v>318</v>
      </c>
      <c r="E108" s="192"/>
      <c r="F108" s="177"/>
      <c r="G108" s="177">
        <f t="shared" si="3"/>
        <v>0</v>
      </c>
      <c r="H108" s="271">
        <f t="shared" si="4"/>
        <v>0</v>
      </c>
      <c r="I108" s="272"/>
    </row>
    <row r="109" spans="1:9" ht="15" customHeight="1">
      <c r="A109" s="184" t="s">
        <v>193</v>
      </c>
      <c r="B109" s="185" t="s">
        <v>194</v>
      </c>
      <c r="C109" s="190"/>
      <c r="D109" s="194">
        <v>319</v>
      </c>
      <c r="E109" s="192" t="s">
        <v>232</v>
      </c>
      <c r="F109" s="177">
        <f>SUM(F110:F111)</f>
        <v>3556578275</v>
      </c>
      <c r="G109" s="177">
        <f>SUM(G110:G111)</f>
        <v>46587500</v>
      </c>
      <c r="H109" s="271">
        <f>SUM(H110:H111)</f>
        <v>3603165775</v>
      </c>
      <c r="I109" s="272">
        <f>SUM(I110:I111)</f>
        <v>2356824432</v>
      </c>
    </row>
    <row r="110" spans="1:9" ht="15" customHeight="1" hidden="1">
      <c r="A110" s="184"/>
      <c r="B110" s="185" t="s">
        <v>296</v>
      </c>
      <c r="C110" s="190" t="s">
        <v>298</v>
      </c>
      <c r="D110" s="194"/>
      <c r="E110" s="192"/>
      <c r="F110" s="177"/>
      <c r="G110" s="177">
        <f>-SUMIF(no,C110,tien)+SUMIF(co,C110,tien)</f>
        <v>0</v>
      </c>
      <c r="H110" s="271">
        <f>F110+G110</f>
        <v>0</v>
      </c>
      <c r="I110" s="272"/>
    </row>
    <row r="111" spans="1:9" ht="15" customHeight="1" hidden="1">
      <c r="A111" s="184"/>
      <c r="B111" s="185" t="s">
        <v>297</v>
      </c>
      <c r="C111" s="190">
        <v>338</v>
      </c>
      <c r="D111" s="194"/>
      <c r="E111" s="192"/>
      <c r="F111" s="171">
        <f>2872866162+(414560000+45919442+223232671)</f>
        <v>3556578275</v>
      </c>
      <c r="G111" s="177">
        <f>-SUMIF(no,C111,tien)+SUMIF(co,C111,tien)</f>
        <v>46587500</v>
      </c>
      <c r="H111" s="271">
        <f>F111+G111</f>
        <v>3603165775</v>
      </c>
      <c r="I111" s="272">
        <f>2356824432</f>
        <v>2356824432</v>
      </c>
    </row>
    <row r="112" spans="1:9" ht="15" customHeight="1">
      <c r="A112" s="184" t="s">
        <v>195</v>
      </c>
      <c r="B112" s="185" t="s">
        <v>220</v>
      </c>
      <c r="C112" s="190">
        <v>352</v>
      </c>
      <c r="D112" s="194">
        <v>320</v>
      </c>
      <c r="E112" s="192"/>
      <c r="F112" s="177"/>
      <c r="G112" s="177">
        <f>-SUMIF(no,C112,tien)+SUMIF(co,C112,tien)</f>
        <v>0</v>
      </c>
      <c r="H112" s="271">
        <f t="shared" si="4"/>
        <v>0</v>
      </c>
      <c r="I112" s="272">
        <v>0</v>
      </c>
    </row>
    <row r="113" spans="1:9" ht="15" customHeight="1">
      <c r="A113" s="183" t="s">
        <v>142</v>
      </c>
      <c r="B113" s="188" t="s">
        <v>196</v>
      </c>
      <c r="C113" s="190"/>
      <c r="D113" s="191">
        <v>320</v>
      </c>
      <c r="E113" s="192"/>
      <c r="F113" s="174">
        <f>SUM(F114:F116)+F119+SUM(F123:F125)</f>
        <v>207843386707</v>
      </c>
      <c r="G113" s="174">
        <f>SUM(G114:G116)+G119+SUM(G123:G125)</f>
        <v>0</v>
      </c>
      <c r="H113" s="269">
        <f>SUM(H114:H116)+H119+SUM(H123:H125)</f>
        <v>207843386707</v>
      </c>
      <c r="I113" s="270">
        <f>SUM(I114:I116)+I119+SUM(I123:I125)</f>
        <v>291517315368</v>
      </c>
    </row>
    <row r="114" spans="1:9" ht="15" customHeight="1">
      <c r="A114" s="184" t="s">
        <v>137</v>
      </c>
      <c r="B114" s="185" t="s">
        <v>197</v>
      </c>
      <c r="C114" s="190" t="s">
        <v>299</v>
      </c>
      <c r="D114" s="194">
        <v>321</v>
      </c>
      <c r="E114" s="192"/>
      <c r="F114" s="177"/>
      <c r="G114" s="177">
        <f aca="true" t="shared" si="5" ref="G114:G126">-SUMIF(no,C114,tien)+SUMIF(co,C114,tien)</f>
        <v>0</v>
      </c>
      <c r="H114" s="271">
        <f>F114+G114</f>
        <v>0</v>
      </c>
      <c r="I114" s="272">
        <v>0</v>
      </c>
    </row>
    <row r="115" spans="1:9" ht="15" customHeight="1">
      <c r="A115" s="184" t="s">
        <v>136</v>
      </c>
      <c r="B115" s="185" t="s">
        <v>198</v>
      </c>
      <c r="C115" s="190" t="s">
        <v>300</v>
      </c>
      <c r="D115" s="194">
        <v>322</v>
      </c>
      <c r="E115" s="192" t="s">
        <v>438</v>
      </c>
      <c r="F115" s="177">
        <v>147843454433</v>
      </c>
      <c r="G115" s="177">
        <f t="shared" si="5"/>
        <v>0</v>
      </c>
      <c r="H115" s="271">
        <f>F115+G115</f>
        <v>147843454433</v>
      </c>
      <c r="I115" s="320">
        <v>170362306278</v>
      </c>
    </row>
    <row r="116" spans="1:9" ht="15" customHeight="1">
      <c r="A116" s="184" t="s">
        <v>144</v>
      </c>
      <c r="B116" s="185" t="s">
        <v>199</v>
      </c>
      <c r="C116" s="190"/>
      <c r="D116" s="194">
        <v>323</v>
      </c>
      <c r="E116" s="192"/>
      <c r="F116" s="272">
        <f>SUM(F117:F118)</f>
        <v>0</v>
      </c>
      <c r="G116" s="177">
        <f>SUM(G117:G118)</f>
        <v>0</v>
      </c>
      <c r="H116" s="271">
        <f>SUM(H117:H118)</f>
        <v>0</v>
      </c>
      <c r="I116" s="320">
        <f>SUM(I117:I118)</f>
        <v>0</v>
      </c>
    </row>
    <row r="117" spans="1:9" ht="15" customHeight="1" hidden="1">
      <c r="A117" s="184"/>
      <c r="B117" s="185" t="s">
        <v>302</v>
      </c>
      <c r="C117" s="190" t="s">
        <v>304</v>
      </c>
      <c r="D117" s="194"/>
      <c r="E117" s="192"/>
      <c r="F117" s="177"/>
      <c r="G117" s="177">
        <f>-SUMIF(no,C117,tien)+SUMIF(co,C117,tien)</f>
        <v>0</v>
      </c>
      <c r="H117" s="271">
        <f>F117+G117</f>
        <v>0</v>
      </c>
      <c r="I117" s="320"/>
    </row>
    <row r="118" spans="1:9" ht="15" customHeight="1" hidden="1">
      <c r="A118" s="184"/>
      <c r="B118" s="185" t="s">
        <v>303</v>
      </c>
      <c r="C118" s="190">
        <v>344</v>
      </c>
      <c r="D118" s="194"/>
      <c r="E118" s="192"/>
      <c r="F118" s="177"/>
      <c r="G118" s="177">
        <f>-SUMIF(no,C118,tien)+SUMIF(co,C118,tien)</f>
        <v>0</v>
      </c>
      <c r="H118" s="271">
        <f>F118+G118</f>
        <v>0</v>
      </c>
      <c r="I118" s="321"/>
    </row>
    <row r="119" spans="1:9" ht="15" customHeight="1">
      <c r="A119" s="184" t="s">
        <v>145</v>
      </c>
      <c r="B119" s="185" t="s">
        <v>200</v>
      </c>
      <c r="C119" s="190"/>
      <c r="D119" s="194">
        <v>324</v>
      </c>
      <c r="E119" s="192" t="s">
        <v>439</v>
      </c>
      <c r="F119" s="177">
        <f>SUM(F120:F122)</f>
        <v>59999932274</v>
      </c>
      <c r="G119" s="177">
        <f>SUM(G120:G122)</f>
        <v>0</v>
      </c>
      <c r="H119" s="271">
        <f>SUM(H120:H122)</f>
        <v>59999932274</v>
      </c>
      <c r="I119" s="320">
        <f>SUM(I120:I122)</f>
        <v>121155009090</v>
      </c>
    </row>
    <row r="120" spans="1:9" ht="15" customHeight="1" hidden="1">
      <c r="A120" s="184"/>
      <c r="B120" s="185" t="s">
        <v>305</v>
      </c>
      <c r="C120" s="190">
        <v>341</v>
      </c>
      <c r="D120" s="194"/>
      <c r="E120" s="192"/>
      <c r="F120" s="177">
        <v>59999932274</v>
      </c>
      <c r="G120" s="177">
        <f>-SUMIF(no,C120,tien)+SUMIF(co,C120,tien)</f>
        <v>0</v>
      </c>
      <c r="H120" s="271">
        <f aca="true" t="shared" si="6" ref="H120:H125">F120+G120</f>
        <v>59999932274</v>
      </c>
      <c r="I120" s="272">
        <v>121155009090</v>
      </c>
    </row>
    <row r="121" spans="1:9" ht="15" customHeight="1" hidden="1">
      <c r="A121" s="184"/>
      <c r="B121" s="185" t="s">
        <v>196</v>
      </c>
      <c r="C121" s="190">
        <v>342</v>
      </c>
      <c r="D121" s="194"/>
      <c r="E121" s="192"/>
      <c r="F121" s="177"/>
      <c r="G121" s="177">
        <f>-SUMIF(no,C121,tien)+SUMIF(co,C121,tien)</f>
        <v>0</v>
      </c>
      <c r="H121" s="271">
        <f t="shared" si="6"/>
        <v>0</v>
      </c>
      <c r="I121" s="272"/>
    </row>
    <row r="122" spans="1:9" ht="15" customHeight="1" hidden="1">
      <c r="A122" s="184"/>
      <c r="B122" s="185" t="s">
        <v>306</v>
      </c>
      <c r="C122" s="190">
        <v>343</v>
      </c>
      <c r="D122" s="194"/>
      <c r="E122" s="192"/>
      <c r="F122" s="177"/>
      <c r="G122" s="177">
        <f>-SUMIF(no,C122,tien)+SUMIF(co,C122,tien)</f>
        <v>0</v>
      </c>
      <c r="H122" s="271">
        <f t="shared" si="6"/>
        <v>0</v>
      </c>
      <c r="I122" s="272"/>
    </row>
    <row r="123" spans="1:9" ht="15" customHeight="1">
      <c r="A123" s="184" t="s">
        <v>146</v>
      </c>
      <c r="B123" s="185" t="s">
        <v>201</v>
      </c>
      <c r="C123" s="190">
        <v>347</v>
      </c>
      <c r="D123" s="194">
        <v>325</v>
      </c>
      <c r="E123" s="192"/>
      <c r="F123" s="177"/>
      <c r="G123" s="177">
        <f t="shared" si="5"/>
        <v>0</v>
      </c>
      <c r="H123" s="271">
        <f t="shared" si="6"/>
        <v>0</v>
      </c>
      <c r="I123" s="272">
        <v>0</v>
      </c>
    </row>
    <row r="124" spans="1:9" ht="15" customHeight="1" hidden="1">
      <c r="A124" s="184" t="s">
        <v>139</v>
      </c>
      <c r="B124" s="185" t="s">
        <v>202</v>
      </c>
      <c r="C124" s="190">
        <v>351</v>
      </c>
      <c r="D124" s="194">
        <v>336</v>
      </c>
      <c r="E124" s="192"/>
      <c r="F124" s="177"/>
      <c r="G124" s="177">
        <f t="shared" si="5"/>
        <v>0</v>
      </c>
      <c r="H124" s="271">
        <f t="shared" si="6"/>
        <v>0</v>
      </c>
      <c r="I124" s="272"/>
    </row>
    <row r="125" spans="1:9" ht="15" customHeight="1" hidden="1">
      <c r="A125" s="184" t="s">
        <v>189</v>
      </c>
      <c r="B125" s="185" t="s">
        <v>221</v>
      </c>
      <c r="C125" s="190" t="s">
        <v>301</v>
      </c>
      <c r="D125" s="194">
        <v>337</v>
      </c>
      <c r="E125" s="192"/>
      <c r="F125" s="177"/>
      <c r="G125" s="177">
        <f t="shared" si="5"/>
        <v>0</v>
      </c>
      <c r="H125" s="271">
        <f t="shared" si="6"/>
        <v>0</v>
      </c>
      <c r="I125" s="272">
        <v>0</v>
      </c>
    </row>
    <row r="126" spans="1:9" ht="18.75" customHeight="1" hidden="1">
      <c r="A126" s="186"/>
      <c r="B126" s="185" t="s">
        <v>8</v>
      </c>
      <c r="C126" s="190">
        <v>344</v>
      </c>
      <c r="D126" s="194">
        <v>333</v>
      </c>
      <c r="E126" s="192"/>
      <c r="F126" s="177"/>
      <c r="G126" s="177">
        <f t="shared" si="5"/>
        <v>0</v>
      </c>
      <c r="H126" s="271"/>
      <c r="I126" s="272"/>
    </row>
    <row r="127" spans="1:12" ht="18" customHeight="1">
      <c r="A127" s="183" t="s">
        <v>149</v>
      </c>
      <c r="B127" s="188" t="s">
        <v>203</v>
      </c>
      <c r="C127" s="190"/>
      <c r="D127" s="191">
        <v>400</v>
      </c>
      <c r="F127" s="174">
        <f>F128+F140</f>
        <v>86761220079</v>
      </c>
      <c r="G127" s="174">
        <f>G128+G140</f>
        <v>163127617</v>
      </c>
      <c r="H127" s="269">
        <f>H128+H140</f>
        <v>86924347696</v>
      </c>
      <c r="I127" s="270">
        <f>I128+I140</f>
        <v>92559102348</v>
      </c>
      <c r="L127" s="96">
        <v>86924347696</v>
      </c>
    </row>
    <row r="128" spans="1:12" ht="15" customHeight="1">
      <c r="A128" s="183" t="s">
        <v>141</v>
      </c>
      <c r="B128" s="188" t="s">
        <v>204</v>
      </c>
      <c r="C128" s="190"/>
      <c r="D128" s="191">
        <v>410</v>
      </c>
      <c r="E128" s="192" t="s">
        <v>435</v>
      </c>
      <c r="F128" s="174">
        <f>SUM(F129:F139)</f>
        <v>91524771801</v>
      </c>
      <c r="G128" s="174">
        <f>SUM(G129:G139)</f>
        <v>82352689</v>
      </c>
      <c r="H128" s="269">
        <f>SUM(H129:H139)</f>
        <v>91607124490</v>
      </c>
      <c r="I128" s="270">
        <f>SUM(I129:I139)</f>
        <v>92559102348</v>
      </c>
      <c r="L128" s="96">
        <f>H128+H141</f>
        <v>86380202170</v>
      </c>
    </row>
    <row r="129" spans="1:13" ht="15" customHeight="1">
      <c r="A129" s="184" t="s">
        <v>137</v>
      </c>
      <c r="B129" s="185" t="s">
        <v>205</v>
      </c>
      <c r="C129" s="190">
        <v>4111</v>
      </c>
      <c r="D129" s="194">
        <v>411</v>
      </c>
      <c r="E129" s="192"/>
      <c r="F129" s="170">
        <v>89633059166</v>
      </c>
      <c r="G129" s="177">
        <f aca="true" t="shared" si="7" ref="G129:G139">-SUMIF(no,C129,tien)+SUMIF(co,C129,tien)</f>
        <v>31422101</v>
      </c>
      <c r="H129" s="271">
        <f aca="true" t="shared" si="8" ref="H129:H139">F129+G129</f>
        <v>89664481267</v>
      </c>
      <c r="I129" s="272">
        <v>90744337212</v>
      </c>
      <c r="K129" s="96">
        <f>H129-I129</f>
        <v>-1079855945</v>
      </c>
      <c r="L129" s="222">
        <v>86380202170</v>
      </c>
      <c r="M129" s="222"/>
    </row>
    <row r="130" spans="1:9" ht="15" customHeight="1">
      <c r="A130" s="184" t="s">
        <v>136</v>
      </c>
      <c r="B130" s="185" t="s">
        <v>206</v>
      </c>
      <c r="C130" s="190">
        <v>4112</v>
      </c>
      <c r="D130" s="194">
        <v>412</v>
      </c>
      <c r="E130" s="192"/>
      <c r="F130" s="172"/>
      <c r="G130" s="177">
        <f t="shared" si="7"/>
        <v>0</v>
      </c>
      <c r="H130" s="271">
        <f t="shared" si="8"/>
        <v>0</v>
      </c>
      <c r="I130" s="272">
        <v>0</v>
      </c>
    </row>
    <row r="131" spans="1:9" ht="15" customHeight="1" hidden="1">
      <c r="A131" s="184" t="s">
        <v>144</v>
      </c>
      <c r="B131" s="185" t="s">
        <v>207</v>
      </c>
      <c r="C131" s="190">
        <v>4118</v>
      </c>
      <c r="D131" s="194">
        <v>413</v>
      </c>
      <c r="E131" s="192"/>
      <c r="F131" s="172"/>
      <c r="G131" s="177">
        <f t="shared" si="7"/>
        <v>0</v>
      </c>
      <c r="H131" s="271">
        <f t="shared" si="8"/>
        <v>0</v>
      </c>
      <c r="I131" s="272">
        <v>0</v>
      </c>
    </row>
    <row r="132" spans="1:9" ht="15" customHeight="1">
      <c r="A132" s="184" t="s">
        <v>144</v>
      </c>
      <c r="B132" s="185" t="s">
        <v>209</v>
      </c>
      <c r="C132" s="190">
        <v>419</v>
      </c>
      <c r="D132" s="194">
        <v>413</v>
      </c>
      <c r="E132" s="192"/>
      <c r="F132" s="172"/>
      <c r="G132" s="177">
        <f t="shared" si="7"/>
        <v>0</v>
      </c>
      <c r="H132" s="271">
        <f t="shared" si="8"/>
        <v>0</v>
      </c>
      <c r="I132" s="272">
        <v>0</v>
      </c>
    </row>
    <row r="133" spans="1:9" ht="15" customHeight="1">
      <c r="A133" s="184" t="s">
        <v>145</v>
      </c>
      <c r="B133" s="185" t="s">
        <v>208</v>
      </c>
      <c r="C133" s="190">
        <v>412</v>
      </c>
      <c r="D133" s="194">
        <v>414</v>
      </c>
      <c r="E133" s="195"/>
      <c r="F133" s="173"/>
      <c r="G133" s="177">
        <f t="shared" si="7"/>
        <v>0</v>
      </c>
      <c r="H133" s="271">
        <f t="shared" si="8"/>
        <v>0</v>
      </c>
      <c r="I133" s="272">
        <v>0</v>
      </c>
    </row>
    <row r="134" spans="1:9" ht="15" customHeight="1">
      <c r="A134" s="184" t="s">
        <v>146</v>
      </c>
      <c r="B134" s="185" t="s">
        <v>210</v>
      </c>
      <c r="C134" s="190">
        <v>413</v>
      </c>
      <c r="D134" s="194">
        <v>415</v>
      </c>
      <c r="E134" s="192"/>
      <c r="F134" s="173">
        <v>0</v>
      </c>
      <c r="G134" s="177">
        <f t="shared" si="7"/>
        <v>0</v>
      </c>
      <c r="H134" s="271">
        <f t="shared" si="8"/>
        <v>0</v>
      </c>
      <c r="I134" s="272">
        <v>0</v>
      </c>
    </row>
    <row r="135" spans="1:11" ht="15" customHeight="1">
      <c r="A135" s="184" t="s">
        <v>139</v>
      </c>
      <c r="B135" s="185" t="s">
        <v>211</v>
      </c>
      <c r="C135" s="190">
        <v>414</v>
      </c>
      <c r="D135" s="194">
        <v>416</v>
      </c>
      <c r="E135" s="192"/>
      <c r="F135" s="173">
        <v>1867038367</v>
      </c>
      <c r="G135" s="177">
        <f t="shared" si="7"/>
        <v>34617827</v>
      </c>
      <c r="H135" s="271">
        <f t="shared" si="8"/>
        <v>1901656194</v>
      </c>
      <c r="I135" s="272">
        <v>1814765136</v>
      </c>
      <c r="J135" s="96">
        <f>H135-I135</f>
        <v>86891058</v>
      </c>
      <c r="K135" s="96">
        <f>F135-I135</f>
        <v>52273231</v>
      </c>
    </row>
    <row r="136" spans="1:11" ht="15" customHeight="1">
      <c r="A136" s="184" t="s">
        <v>189</v>
      </c>
      <c r="B136" s="185" t="s">
        <v>212</v>
      </c>
      <c r="C136" s="190">
        <v>415</v>
      </c>
      <c r="D136" s="194">
        <v>417</v>
      </c>
      <c r="E136" s="192"/>
      <c r="F136" s="173">
        <v>24674268</v>
      </c>
      <c r="G136" s="177">
        <f t="shared" si="7"/>
        <v>16312761</v>
      </c>
      <c r="H136" s="271">
        <f t="shared" si="8"/>
        <v>40987029</v>
      </c>
      <c r="I136" s="272">
        <v>0</v>
      </c>
      <c r="J136" s="96">
        <v>86891058</v>
      </c>
      <c r="K136" s="96">
        <f>F136-I136</f>
        <v>24674268</v>
      </c>
    </row>
    <row r="137" spans="1:10" ht="15" customHeight="1">
      <c r="A137" s="184" t="s">
        <v>191</v>
      </c>
      <c r="B137" s="185" t="s">
        <v>213</v>
      </c>
      <c r="C137" s="190">
        <v>418</v>
      </c>
      <c r="D137" s="194">
        <v>418</v>
      </c>
      <c r="E137" s="192"/>
      <c r="F137" s="173"/>
      <c r="G137" s="177">
        <f t="shared" si="7"/>
        <v>0</v>
      </c>
      <c r="H137" s="271">
        <f t="shared" si="8"/>
        <v>0</v>
      </c>
      <c r="I137" s="272">
        <v>0</v>
      </c>
      <c r="J137" s="96">
        <f>J136-J135</f>
        <v>0</v>
      </c>
    </row>
    <row r="138" spans="1:9" ht="15" customHeight="1">
      <c r="A138" s="184" t="s">
        <v>193</v>
      </c>
      <c r="B138" s="185" t="s">
        <v>214</v>
      </c>
      <c r="C138" s="190">
        <v>421</v>
      </c>
      <c r="D138" s="194">
        <v>419</v>
      </c>
      <c r="E138" s="192"/>
      <c r="F138" s="170"/>
      <c r="G138" s="177">
        <f>-SUMIF(no,C138,tien)+SUMIF(co,C138,tien)+'BaocaoKQKD - Phan 1'!G28</f>
        <v>0</v>
      </c>
      <c r="H138" s="271">
        <f t="shared" si="8"/>
        <v>0</v>
      </c>
      <c r="I138" s="272">
        <v>0</v>
      </c>
    </row>
    <row r="139" spans="1:9" ht="15" customHeight="1" hidden="1">
      <c r="A139" s="184" t="s">
        <v>195</v>
      </c>
      <c r="B139" s="185" t="s">
        <v>215</v>
      </c>
      <c r="C139" s="190">
        <v>441</v>
      </c>
      <c r="D139" s="194">
        <v>421</v>
      </c>
      <c r="E139" s="192"/>
      <c r="F139" s="177"/>
      <c r="G139" s="177">
        <f t="shared" si="7"/>
        <v>0</v>
      </c>
      <c r="H139" s="271">
        <f t="shared" si="8"/>
        <v>0</v>
      </c>
      <c r="I139" s="272"/>
    </row>
    <row r="140" spans="1:9" ht="15" customHeight="1">
      <c r="A140" s="183" t="s">
        <v>142</v>
      </c>
      <c r="B140" s="188" t="s">
        <v>216</v>
      </c>
      <c r="C140" s="190"/>
      <c r="D140" s="191">
        <v>420</v>
      </c>
      <c r="E140" s="192"/>
      <c r="F140" s="174">
        <f>SUM(F141:F143)</f>
        <v>-4763551722</v>
      </c>
      <c r="G140" s="174">
        <f>SUM(G141:G143)</f>
        <v>80774928</v>
      </c>
      <c r="H140" s="269">
        <f>SUM(H141:H143)</f>
        <v>-4682776794</v>
      </c>
      <c r="I140" s="270">
        <f>SUM(I141:I143)</f>
        <v>0</v>
      </c>
    </row>
    <row r="141" spans="1:11" ht="15" customHeight="1">
      <c r="A141" s="184" t="s">
        <v>137</v>
      </c>
      <c r="B141" s="185" t="s">
        <v>217</v>
      </c>
      <c r="C141" s="190">
        <v>431</v>
      </c>
      <c r="D141" s="194">
        <v>421</v>
      </c>
      <c r="E141" s="192"/>
      <c r="F141" s="177">
        <v>-5307697248</v>
      </c>
      <c r="G141" s="177">
        <f>-SUMIF(no,C141,tien)+SUMIF(co,C141,tien)</f>
        <v>80774928</v>
      </c>
      <c r="H141" s="271">
        <f>F141+G141</f>
        <v>-5226922320</v>
      </c>
      <c r="I141" s="272">
        <v>0</v>
      </c>
      <c r="J141" s="96">
        <v>202745802</v>
      </c>
      <c r="K141" s="96">
        <f>H141-J141</f>
        <v>-5429668122</v>
      </c>
    </row>
    <row r="142" spans="1:9" ht="15" customHeight="1">
      <c r="A142" s="184" t="s">
        <v>136</v>
      </c>
      <c r="B142" s="185" t="s">
        <v>218</v>
      </c>
      <c r="C142" s="190">
        <v>461</v>
      </c>
      <c r="D142" s="194">
        <v>422</v>
      </c>
      <c r="E142" s="192"/>
      <c r="F142" s="177"/>
      <c r="G142" s="177">
        <f>-SUMIF(no,C142,tien)+SUMIF(co,C142,tien)</f>
        <v>0</v>
      </c>
      <c r="H142" s="271">
        <f>F142+G142</f>
        <v>0</v>
      </c>
      <c r="I142" s="272">
        <v>0</v>
      </c>
    </row>
    <row r="143" spans="1:9" ht="15" customHeight="1">
      <c r="A143" s="184" t="s">
        <v>144</v>
      </c>
      <c r="B143" s="185" t="s">
        <v>219</v>
      </c>
      <c r="C143" s="190">
        <v>466</v>
      </c>
      <c r="D143" s="194">
        <v>423</v>
      </c>
      <c r="E143" s="192"/>
      <c r="F143" s="177">
        <v>544145526</v>
      </c>
      <c r="G143" s="177">
        <f>-SUMIF(no,C143,tien)+SUMIF(co,C143,tien)</f>
        <v>0</v>
      </c>
      <c r="H143" s="271">
        <f>F143+G143</f>
        <v>544145526</v>
      </c>
      <c r="I143" s="272">
        <v>0</v>
      </c>
    </row>
    <row r="144" spans="1:12" ht="19.5" customHeight="1" thickBot="1">
      <c r="A144" s="189"/>
      <c r="B144" s="281" t="s">
        <v>308</v>
      </c>
      <c r="C144" s="196"/>
      <c r="D144" s="197">
        <v>430</v>
      </c>
      <c r="E144" s="198"/>
      <c r="F144" s="180">
        <f>F127+F95</f>
        <v>569153594452</v>
      </c>
      <c r="G144" s="180">
        <f>G127+G95</f>
        <v>272963635</v>
      </c>
      <c r="H144" s="277">
        <f>H127+H95</f>
        <v>569426558087</v>
      </c>
      <c r="I144" s="278">
        <f>I127+I95</f>
        <v>621890977828</v>
      </c>
      <c r="K144" s="102" t="s">
        <v>410</v>
      </c>
      <c r="L144" s="96">
        <f>K144-H144</f>
        <v>-683712113</v>
      </c>
    </row>
    <row r="145" spans="4:7" ht="15.75" thickTop="1">
      <c r="D145" s="105"/>
      <c r="F145" s="91"/>
      <c r="G145" s="91"/>
    </row>
    <row r="146" spans="2:9" ht="15">
      <c r="B146" s="93"/>
      <c r="C146" s="107"/>
      <c r="D146" s="108"/>
      <c r="E146" s="104"/>
      <c r="F146" s="283"/>
      <c r="G146" s="283"/>
      <c r="H146" s="102"/>
      <c r="I146" s="295"/>
    </row>
    <row r="147" spans="2:9" ht="15">
      <c r="B147" s="93"/>
      <c r="F147" s="96">
        <f>F144-F88</f>
        <v>0</v>
      </c>
      <c r="G147" s="96">
        <f>G144-G88</f>
        <v>0</v>
      </c>
      <c r="H147" s="104"/>
      <c r="I147" s="141"/>
    </row>
    <row r="149" ht="15" hidden="1"/>
    <row r="150" spans="2:7" ht="15">
      <c r="B150" s="109"/>
      <c r="E150" s="90"/>
      <c r="F150" s="96">
        <f>H144-H88</f>
        <v>0</v>
      </c>
      <c r="G150" s="96">
        <f>I144-I88</f>
        <v>0</v>
      </c>
    </row>
    <row r="151" ht="17.25" customHeight="1">
      <c r="H151" s="110"/>
    </row>
    <row r="152" ht="15">
      <c r="H152" s="110"/>
    </row>
    <row r="153" spans="2:8" ht="15">
      <c r="B153" s="93"/>
      <c r="H153" s="108"/>
    </row>
    <row r="156" spans="1:9" ht="19.5" customHeight="1">
      <c r="A156" s="145"/>
      <c r="B156" s="151"/>
      <c r="C156" s="214"/>
      <c r="D156" s="145"/>
      <c r="E156" s="215"/>
      <c r="F156" s="145"/>
      <c r="G156" s="145"/>
      <c r="H156" s="145"/>
      <c r="I156" s="145"/>
    </row>
    <row r="161" spans="2:3" ht="15">
      <c r="B161" s="96"/>
      <c r="C161" s="105"/>
    </row>
    <row r="162" spans="2:3" ht="15">
      <c r="B162" s="96"/>
      <c r="C162" s="105"/>
    </row>
    <row r="163" spans="2:10" ht="15">
      <c r="B163" s="96"/>
      <c r="C163" s="105"/>
      <c r="J163" s="292">
        <v>202745802</v>
      </c>
    </row>
    <row r="164" spans="2:10" ht="15">
      <c r="B164" s="96"/>
      <c r="C164" s="105"/>
      <c r="J164" s="292">
        <v>40987029</v>
      </c>
    </row>
    <row r="165" spans="2:10" ht="15">
      <c r="B165" s="96"/>
      <c r="C165" s="105"/>
      <c r="J165" s="292">
        <v>86891058</v>
      </c>
    </row>
    <row r="166" spans="2:10" ht="15">
      <c r="B166" s="96"/>
      <c r="C166" s="105"/>
      <c r="J166" s="292">
        <v>79246403</v>
      </c>
    </row>
    <row r="167" spans="2:11" ht="15">
      <c r="B167" s="96"/>
      <c r="C167" s="105"/>
      <c r="J167" s="96">
        <f>SUM(J163:J166)</f>
        <v>409870292</v>
      </c>
      <c r="K167" s="96">
        <v>409870292</v>
      </c>
    </row>
    <row r="168" spans="2:8" ht="15">
      <c r="B168" s="96"/>
      <c r="C168" s="105"/>
      <c r="H168" s="293">
        <v>102978903411</v>
      </c>
    </row>
    <row r="169" spans="2:12" ht="15">
      <c r="B169" s="96"/>
      <c r="C169" s="105"/>
      <c r="H169" s="96">
        <v>414560000</v>
      </c>
      <c r="L169" s="96">
        <v>32750378</v>
      </c>
    </row>
    <row r="170" spans="8:12" ht="15">
      <c r="H170" s="96">
        <v>46587500</v>
      </c>
      <c r="L170" s="96">
        <v>304602</v>
      </c>
    </row>
    <row r="171" spans="8:12" ht="15">
      <c r="H171" s="96">
        <v>45919442</v>
      </c>
      <c r="L171" s="96">
        <f>L169+L170</f>
        <v>33054980</v>
      </c>
    </row>
    <row r="172" spans="8:12" ht="15">
      <c r="H172" s="96">
        <v>223232671</v>
      </c>
      <c r="L172" s="96">
        <v>3218.2</v>
      </c>
    </row>
    <row r="173" spans="8:12" ht="15">
      <c r="H173" s="96">
        <f>SUM(H168:H172)</f>
        <v>103709203024</v>
      </c>
      <c r="L173" s="96">
        <v>3218200</v>
      </c>
    </row>
    <row r="174" ht="15">
      <c r="L174" s="96">
        <f>H14-L173</f>
        <v>490690000</v>
      </c>
    </row>
    <row r="175" ht="15">
      <c r="L175" s="96">
        <f>100+50+30+10+10</f>
        <v>200</v>
      </c>
    </row>
    <row r="176" ht="15">
      <c r="L176" s="96">
        <f>L175*16091</f>
        <v>3218200</v>
      </c>
    </row>
    <row r="183" ht="15">
      <c r="L183" s="323">
        <v>90744337212</v>
      </c>
    </row>
    <row r="184" ht="15">
      <c r="L184" s="290">
        <v>79246403</v>
      </c>
    </row>
    <row r="185" ht="15">
      <c r="L185" s="291"/>
    </row>
    <row r="186" ht="15">
      <c r="L186" s="291"/>
    </row>
    <row r="187" ht="15">
      <c r="L187" s="290">
        <v>1159102348</v>
      </c>
    </row>
    <row r="188" ht="15">
      <c r="L188" s="291"/>
    </row>
    <row r="189" ht="15.75" thickBot="1">
      <c r="L189" s="324"/>
    </row>
    <row r="190" ht="15">
      <c r="L190" s="325"/>
    </row>
    <row r="191" ht="15.75" thickBot="1">
      <c r="L191" s="326">
        <v>89633059166</v>
      </c>
    </row>
    <row r="192" ht="15.75" thickTop="1"/>
    <row r="195" ht="15">
      <c r="L195" s="96">
        <f>L183+L184-L187</f>
        <v>89664481267</v>
      </c>
    </row>
    <row r="196" ht="15">
      <c r="L196" s="96">
        <f>L195-L191</f>
        <v>31422101</v>
      </c>
    </row>
    <row r="198" ht="15">
      <c r="L198" s="96">
        <v>89664481267</v>
      </c>
    </row>
    <row r="199" ht="15">
      <c r="L199" s="96">
        <f>L198-L195</f>
        <v>0</v>
      </c>
    </row>
  </sheetData>
  <mergeCells count="3">
    <mergeCell ref="A2:B2"/>
    <mergeCell ref="A3:B3"/>
    <mergeCell ref="A1:D1"/>
  </mergeCells>
  <printOptions horizontalCentered="1" verticalCentered="1"/>
  <pageMargins left="0.3" right="0.25" top="0.25" bottom="0.37" header="0.17" footer="0.17"/>
  <pageSetup firstPageNumber="7" useFirstPageNumber="1" horizontalDpi="600" verticalDpi="600" orientation="portrait" paperSize="9" r:id="rId1"/>
  <headerFooter alignWithMargins="0">
    <oddFooter xml:space="preserve">&amp;L&amp;"Times New Roman,Italic"&amp;10              Báo cáo tài chính này phải được đọc chung với các thuyết minh kèm theo&amp;R&amp;10&amp;P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92"/>
  <sheetViews>
    <sheetView workbookViewId="0" topLeftCell="A1">
      <selection activeCell="C16" sqref="C16"/>
    </sheetView>
  </sheetViews>
  <sheetFormatPr defaultColWidth="8.796875" defaultRowHeight="15"/>
  <cols>
    <col min="1" max="1" width="44.59765625" style="126" customWidth="1"/>
    <col min="2" max="2" width="9" style="126" customWidth="1"/>
    <col min="3" max="4" width="15.59765625" style="126" customWidth="1"/>
    <col min="5" max="16384" width="9" style="126" customWidth="1"/>
  </cols>
  <sheetData>
    <row r="1" spans="1:4" ht="17.25" customHeight="1">
      <c r="A1" s="359" t="s">
        <v>380</v>
      </c>
      <c r="B1" s="359"/>
      <c r="C1" s="359"/>
      <c r="D1" s="359"/>
    </row>
    <row r="2" spans="1:2" ht="16.5" customHeight="1">
      <c r="A2" s="359" t="s">
        <v>446</v>
      </c>
      <c r="B2" s="359"/>
    </row>
    <row r="3" spans="1:4" ht="13.5" customHeight="1">
      <c r="A3" s="360" t="s">
        <v>404</v>
      </c>
      <c r="B3" s="361"/>
      <c r="C3" s="139"/>
      <c r="D3" s="139"/>
    </row>
    <row r="4" spans="1:4" ht="3.75" customHeight="1" hidden="1">
      <c r="A4" s="284"/>
      <c r="B4" s="139"/>
      <c r="C4" s="139"/>
      <c r="D4" s="139"/>
    </row>
    <row r="5" ht="10.5" customHeight="1"/>
    <row r="6" spans="1:4" ht="18" customHeight="1">
      <c r="A6" s="328" t="s">
        <v>225</v>
      </c>
      <c r="B6" s="328"/>
      <c r="C6" s="328"/>
      <c r="D6" s="328"/>
    </row>
    <row r="7" spans="1:4" ht="18" customHeight="1">
      <c r="A7" s="330" t="s">
        <v>322</v>
      </c>
      <c r="B7" s="330"/>
      <c r="C7" s="330"/>
      <c r="D7" s="330"/>
    </row>
    <row r="8" ht="13.5" customHeight="1" thickBot="1">
      <c r="D8" s="200"/>
    </row>
    <row r="9" spans="1:4" ht="29.25" thickTop="1">
      <c r="A9" s="133" t="s">
        <v>226</v>
      </c>
      <c r="B9" s="134" t="s">
        <v>114</v>
      </c>
      <c r="C9" s="135" t="s">
        <v>319</v>
      </c>
      <c r="D9" s="154" t="s">
        <v>320</v>
      </c>
    </row>
    <row r="10" spans="1:4" ht="9.75" customHeight="1">
      <c r="A10" s="127"/>
      <c r="B10" s="128"/>
      <c r="C10" s="128"/>
      <c r="D10" s="129"/>
    </row>
    <row r="11" spans="1:4" ht="18" customHeight="1">
      <c r="A11" s="127" t="s">
        <v>227</v>
      </c>
      <c r="B11" s="137"/>
      <c r="C11" s="267">
        <v>0</v>
      </c>
      <c r="D11" s="268">
        <v>0</v>
      </c>
    </row>
    <row r="12" spans="1:4" ht="18" customHeight="1">
      <c r="A12" s="127" t="s">
        <v>447</v>
      </c>
      <c r="B12" s="128"/>
      <c r="C12" s="267">
        <v>263130242</v>
      </c>
      <c r="D12" s="268">
        <v>265530242</v>
      </c>
    </row>
    <row r="13" spans="1:4" ht="18" customHeight="1">
      <c r="A13" s="127" t="s">
        <v>228</v>
      </c>
      <c r="B13" s="128"/>
      <c r="C13" s="267">
        <v>0</v>
      </c>
      <c r="D13" s="268">
        <v>0</v>
      </c>
    </row>
    <row r="14" spans="1:4" ht="18" customHeight="1">
      <c r="A14" s="127" t="s">
        <v>229</v>
      </c>
      <c r="B14" s="128"/>
      <c r="C14" s="267">
        <v>0</v>
      </c>
      <c r="D14" s="268">
        <v>0</v>
      </c>
    </row>
    <row r="15" spans="1:4" ht="18" customHeight="1">
      <c r="A15" s="127" t="s">
        <v>325</v>
      </c>
      <c r="B15" s="128"/>
      <c r="C15" s="152">
        <v>218.93</v>
      </c>
      <c r="D15" s="153">
        <v>218.93</v>
      </c>
    </row>
    <row r="16" spans="1:4" ht="18" customHeight="1">
      <c r="A16" s="127" t="s">
        <v>230</v>
      </c>
      <c r="B16" s="128"/>
      <c r="C16" s="267">
        <v>0</v>
      </c>
      <c r="D16" s="268">
        <v>0</v>
      </c>
    </row>
    <row r="17" spans="1:4" ht="9.75" customHeight="1" thickBot="1">
      <c r="A17" s="130"/>
      <c r="B17" s="131"/>
      <c r="C17" s="131"/>
      <c r="D17" s="132"/>
    </row>
    <row r="18" ht="15.75" thickTop="1"/>
    <row r="19" ht="15">
      <c r="C19" s="102" t="s">
        <v>409</v>
      </c>
    </row>
    <row r="20" spans="1:3" ht="18" customHeight="1">
      <c r="A20" s="93" t="s">
        <v>233</v>
      </c>
      <c r="C20" s="104" t="s">
        <v>436</v>
      </c>
    </row>
    <row r="21" spans="1:3" ht="15">
      <c r="A21" s="92"/>
      <c r="C21" s="96"/>
    </row>
    <row r="22" spans="1:3" ht="15">
      <c r="A22" s="92"/>
      <c r="C22" s="96"/>
    </row>
    <row r="23" spans="1:3" ht="15">
      <c r="A23" s="109"/>
      <c r="C23" s="96"/>
    </row>
    <row r="24" spans="1:3" ht="15">
      <c r="A24" s="92"/>
      <c r="C24" s="110"/>
    </row>
    <row r="25" spans="1:3" ht="15">
      <c r="A25" s="92"/>
      <c r="C25" s="110"/>
    </row>
    <row r="26" spans="1:3" ht="19.5" customHeight="1">
      <c r="A26" s="93" t="s">
        <v>425</v>
      </c>
      <c r="C26" s="108" t="s">
        <v>437</v>
      </c>
    </row>
    <row r="54" spans="1:4" ht="20.25" customHeight="1">
      <c r="A54" s="139"/>
      <c r="B54" s="139"/>
      <c r="C54" s="139"/>
      <c r="D54" s="139"/>
    </row>
    <row r="58" spans="3:4" ht="15">
      <c r="C58" s="372"/>
      <c r="D58" s="372"/>
    </row>
    <row r="59" ht="6" customHeight="1"/>
    <row r="60" spans="1:4" ht="19.5" customHeight="1">
      <c r="A60" s="83"/>
      <c r="B60" s="83"/>
      <c r="C60" s="371"/>
      <c r="D60" s="371"/>
    </row>
    <row r="66" spans="1:4" ht="15">
      <c r="A66" s="83"/>
      <c r="C66" s="371"/>
      <c r="D66" s="371"/>
    </row>
    <row r="92" spans="1:5" ht="51" customHeight="1">
      <c r="A92" s="139"/>
      <c r="B92" s="139"/>
      <c r="C92" s="139"/>
      <c r="D92" s="139"/>
      <c r="E92" s="285"/>
    </row>
  </sheetData>
  <mergeCells count="6">
    <mergeCell ref="C66:D66"/>
    <mergeCell ref="A2:B2"/>
    <mergeCell ref="A3:B3"/>
    <mergeCell ref="A1:D1"/>
    <mergeCell ref="C60:D60"/>
    <mergeCell ref="C58:D58"/>
  </mergeCells>
  <printOptions horizontalCentered="1" verticalCentered="1"/>
  <pageMargins left="0.3" right="0.25" top="0.3" bottom="0.34" header="0.17" footer="0.2"/>
  <pageSetup firstPageNumber="9" useFirstPageNumber="1" horizontalDpi="300" verticalDpi="300" orientation="portrait" paperSize="9" r:id="rId1"/>
  <headerFooter alignWithMargins="0">
    <oddFooter xml:space="preserve">&amp;L&amp;"Times New Roman,Italic"&amp;10              Báo cáo này phải được đọc chung với các thuyết minh kèm theo&amp;R&amp;10&amp;P 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48"/>
  <sheetViews>
    <sheetView workbookViewId="0" topLeftCell="A16">
      <selection activeCell="G20" sqref="G20"/>
    </sheetView>
  </sheetViews>
  <sheetFormatPr defaultColWidth="8.796875" defaultRowHeight="15"/>
  <cols>
    <col min="1" max="1" width="3.8984375" style="0" customWidth="1"/>
    <col min="2" max="2" width="41" style="0" customWidth="1"/>
    <col min="3" max="3" width="1.1015625" style="0" hidden="1" customWidth="1"/>
    <col min="4" max="4" width="6.19921875" style="0" customWidth="1"/>
    <col min="5" max="5" width="6.59765625" style="0" bestFit="1" customWidth="1"/>
    <col min="6" max="6" width="14.8984375" style="0" bestFit="1" customWidth="1"/>
    <col min="7" max="7" width="10.8984375" style="0" bestFit="1" customWidth="1"/>
    <col min="8" max="8" width="14.8984375" style="0" bestFit="1" customWidth="1"/>
    <col min="9" max="9" width="13.59765625" style="0" bestFit="1" customWidth="1"/>
  </cols>
  <sheetData>
    <row r="1" spans="1:9" ht="20.25" customHeight="1">
      <c r="A1" s="359" t="s">
        <v>380</v>
      </c>
      <c r="B1" s="359"/>
      <c r="C1" s="94"/>
      <c r="D1" s="94"/>
      <c r="E1" s="93"/>
      <c r="F1" s="94"/>
      <c r="G1" s="95"/>
      <c r="H1" s="95"/>
      <c r="I1" s="223"/>
    </row>
    <row r="2" spans="1:9" ht="15.75" customHeight="1">
      <c r="A2" s="359" t="s">
        <v>446</v>
      </c>
      <c r="B2" s="359"/>
      <c r="C2" s="94"/>
      <c r="D2" s="94"/>
      <c r="E2" s="93"/>
      <c r="F2" s="94"/>
      <c r="G2" s="95"/>
      <c r="H2" s="223"/>
      <c r="I2" s="296"/>
    </row>
    <row r="3" spans="1:9" ht="13.5" customHeight="1">
      <c r="A3" s="360" t="s">
        <v>404</v>
      </c>
      <c r="B3" s="361"/>
      <c r="C3" s="111"/>
      <c r="D3" s="111"/>
      <c r="E3" s="111"/>
      <c r="F3" s="97"/>
      <c r="G3" s="97"/>
      <c r="H3" s="97"/>
      <c r="I3" s="297"/>
    </row>
    <row r="4" spans="1:9" ht="15.75">
      <c r="A4" s="286"/>
      <c r="B4" s="106"/>
      <c r="C4" s="106"/>
      <c r="D4" s="106"/>
      <c r="E4" s="106"/>
      <c r="F4" s="95"/>
      <c r="G4" s="95"/>
      <c r="H4" s="95"/>
      <c r="I4" s="223"/>
    </row>
    <row r="5" spans="1:9" ht="15.75" customHeight="1">
      <c r="A5" s="327" t="s">
        <v>347</v>
      </c>
      <c r="B5" s="327"/>
      <c r="C5" s="327"/>
      <c r="D5" s="327"/>
      <c r="E5" s="327"/>
      <c r="F5" s="327"/>
      <c r="G5" s="327"/>
      <c r="H5" s="327"/>
      <c r="I5" s="327"/>
    </row>
    <row r="6" spans="1:9" ht="15">
      <c r="A6" s="327" t="s">
        <v>321</v>
      </c>
      <c r="B6" s="327"/>
      <c r="C6" s="327"/>
      <c r="D6" s="327"/>
      <c r="E6" s="327"/>
      <c r="F6" s="327"/>
      <c r="G6" s="327"/>
      <c r="H6" s="327"/>
      <c r="I6" s="327"/>
    </row>
    <row r="7" spans="1:9" ht="15.75">
      <c r="A7" s="225"/>
      <c r="B7" s="140"/>
      <c r="C7" s="226"/>
      <c r="D7" s="227"/>
      <c r="E7" s="227"/>
      <c r="F7" s="228"/>
      <c r="G7" s="228"/>
      <c r="H7" s="228"/>
      <c r="I7" s="229" t="s">
        <v>348</v>
      </c>
    </row>
    <row r="8" spans="1:9" ht="16.5" thickBot="1">
      <c r="A8" s="140"/>
      <c r="B8" s="230"/>
      <c r="C8" s="230"/>
      <c r="D8" s="227"/>
      <c r="E8" s="227"/>
      <c r="F8" s="140"/>
      <c r="G8" s="140"/>
      <c r="H8" s="140"/>
      <c r="I8" s="231"/>
    </row>
    <row r="9" spans="1:9" ht="30" customHeight="1" thickTop="1">
      <c r="A9" s="253" t="s">
        <v>14</v>
      </c>
      <c r="B9" s="254" t="s">
        <v>350</v>
      </c>
      <c r="C9" s="254" t="s">
        <v>7</v>
      </c>
      <c r="D9" s="254" t="s">
        <v>349</v>
      </c>
      <c r="E9" s="134" t="s">
        <v>114</v>
      </c>
      <c r="F9" s="123" t="s">
        <v>327</v>
      </c>
      <c r="G9" s="232" t="s">
        <v>115</v>
      </c>
      <c r="H9" s="118" t="s">
        <v>379</v>
      </c>
      <c r="I9" s="233" t="s">
        <v>378</v>
      </c>
    </row>
    <row r="10" spans="1:9" ht="21.75" customHeight="1">
      <c r="A10" s="255" t="s">
        <v>137</v>
      </c>
      <c r="B10" s="188" t="s">
        <v>367</v>
      </c>
      <c r="C10" s="188">
        <v>511</v>
      </c>
      <c r="D10" s="191" t="s">
        <v>1</v>
      </c>
      <c r="E10" s="194" t="s">
        <v>440</v>
      </c>
      <c r="F10" s="234">
        <v>1008109306647</v>
      </c>
      <c r="G10" s="199">
        <f>SUMIF(co,C10,tien)-SUMIF(no,C10,tien)</f>
        <v>0</v>
      </c>
      <c r="H10" s="269">
        <f>F10+G10</f>
        <v>1008109306647</v>
      </c>
      <c r="I10" s="270">
        <v>725038436688</v>
      </c>
    </row>
    <row r="11" spans="1:9" ht="21.75" customHeight="1">
      <c r="A11" s="184" t="s">
        <v>136</v>
      </c>
      <c r="B11" s="185" t="s">
        <v>351</v>
      </c>
      <c r="C11" s="185"/>
      <c r="D11" s="194" t="s">
        <v>2</v>
      </c>
      <c r="E11" s="194"/>
      <c r="F11" s="171">
        <v>0</v>
      </c>
      <c r="G11" s="171">
        <f>SUM(G12:G15)</f>
        <v>0</v>
      </c>
      <c r="H11" s="271">
        <f>SUM(H12:H15)</f>
        <v>0</v>
      </c>
      <c r="I11" s="270">
        <f>SUM(I12:I15)</f>
        <v>0</v>
      </c>
    </row>
    <row r="12" spans="1:9" ht="21.75" customHeight="1" hidden="1">
      <c r="A12" s="186"/>
      <c r="B12" s="187" t="s">
        <v>328</v>
      </c>
      <c r="C12" s="185">
        <v>521</v>
      </c>
      <c r="D12" s="194" t="s">
        <v>3</v>
      </c>
      <c r="E12" s="194"/>
      <c r="F12" s="171"/>
      <c r="G12" s="171">
        <f>-SUMIF(co,C12,tien)+SUMIF(no,C12,tien)</f>
        <v>0</v>
      </c>
      <c r="H12" s="271">
        <f>F12+G12</f>
        <v>0</v>
      </c>
      <c r="I12" s="272"/>
    </row>
    <row r="13" spans="1:9" ht="21.75" customHeight="1" hidden="1">
      <c r="A13" s="186"/>
      <c r="B13" s="187" t="s">
        <v>329</v>
      </c>
      <c r="C13" s="185">
        <v>532</v>
      </c>
      <c r="D13" s="194" t="s">
        <v>4</v>
      </c>
      <c r="E13" s="194"/>
      <c r="F13" s="171"/>
      <c r="G13" s="171">
        <f>-SUMIF(co,C13,tien)+SUMIF(no,C13,tien)</f>
        <v>0</v>
      </c>
      <c r="H13" s="271">
        <f>F13+G13</f>
        <v>0</v>
      </c>
      <c r="I13" s="272"/>
    </row>
    <row r="14" spans="1:9" ht="21.75" customHeight="1" hidden="1">
      <c r="A14" s="186"/>
      <c r="B14" s="187" t="s">
        <v>330</v>
      </c>
      <c r="C14" s="185">
        <v>531</v>
      </c>
      <c r="D14" s="194" t="s">
        <v>5</v>
      </c>
      <c r="E14" s="194"/>
      <c r="F14" s="171"/>
      <c r="G14" s="171">
        <f>-SUMIF(co,C14,tien)+SUMIF(no,C14,tien)</f>
        <v>0</v>
      </c>
      <c r="H14" s="271">
        <f>F14+G14</f>
        <v>0</v>
      </c>
      <c r="I14" s="272"/>
    </row>
    <row r="15" spans="1:9" ht="21.75" customHeight="1" hidden="1">
      <c r="A15" s="186"/>
      <c r="B15" s="187" t="s">
        <v>331</v>
      </c>
      <c r="C15" s="185"/>
      <c r="D15" s="194" t="s">
        <v>6</v>
      </c>
      <c r="E15" s="194"/>
      <c r="F15" s="171"/>
      <c r="G15" s="171">
        <f>SUMIF(co,C15,tien)-SUMIF(no,C15,tien)</f>
        <v>0</v>
      </c>
      <c r="H15" s="271">
        <f>F15+G15</f>
        <v>0</v>
      </c>
      <c r="I15" s="272"/>
    </row>
    <row r="16" spans="1:9" ht="21.75" customHeight="1">
      <c r="A16" s="255" t="s">
        <v>144</v>
      </c>
      <c r="B16" s="188" t="s">
        <v>352</v>
      </c>
      <c r="C16" s="188"/>
      <c r="D16" s="191" t="s">
        <v>58</v>
      </c>
      <c r="E16" s="194"/>
      <c r="F16" s="199">
        <f>F10-F11</f>
        <v>1008109306647</v>
      </c>
      <c r="G16" s="199">
        <f>G10-G11</f>
        <v>0</v>
      </c>
      <c r="H16" s="269">
        <f>H10-H11</f>
        <v>1008109306647</v>
      </c>
      <c r="I16" s="270">
        <f>I10-I11</f>
        <v>725038436688</v>
      </c>
    </row>
    <row r="17" spans="1:9" ht="21.75" customHeight="1">
      <c r="A17" s="184" t="s">
        <v>145</v>
      </c>
      <c r="B17" s="185" t="s">
        <v>353</v>
      </c>
      <c r="C17" s="185">
        <v>632</v>
      </c>
      <c r="D17" s="194" t="s">
        <v>28</v>
      </c>
      <c r="E17" s="194" t="s">
        <v>441</v>
      </c>
      <c r="F17" s="171">
        <v>828617568063</v>
      </c>
      <c r="G17" s="171">
        <f>SUMIF(no,C17,tien)-SUMIF(co,C17,tien)</f>
        <v>-86640501</v>
      </c>
      <c r="H17" s="271">
        <f>F17+G17</f>
        <v>828530927562</v>
      </c>
      <c r="I17" s="272">
        <v>600168867430</v>
      </c>
    </row>
    <row r="18" spans="1:9" ht="21.75" customHeight="1">
      <c r="A18" s="256" t="s">
        <v>146</v>
      </c>
      <c r="B18" s="188" t="s">
        <v>354</v>
      </c>
      <c r="C18" s="185"/>
      <c r="D18" s="191" t="s">
        <v>35</v>
      </c>
      <c r="E18" s="194"/>
      <c r="F18" s="199">
        <f>F16-F17</f>
        <v>179491738584</v>
      </c>
      <c r="G18" s="199">
        <f>G16-G17</f>
        <v>86640501</v>
      </c>
      <c r="H18" s="269">
        <f>H16-H17</f>
        <v>179578379085</v>
      </c>
      <c r="I18" s="270">
        <f>I16-I17</f>
        <v>124869569258</v>
      </c>
    </row>
    <row r="19" spans="1:9" ht="21.75" customHeight="1">
      <c r="A19" s="184" t="s">
        <v>139</v>
      </c>
      <c r="B19" s="185" t="s">
        <v>355</v>
      </c>
      <c r="C19" s="185">
        <v>515</v>
      </c>
      <c r="D19" s="194" t="s">
        <v>25</v>
      </c>
      <c r="E19" s="194" t="s">
        <v>442</v>
      </c>
      <c r="F19" s="171">
        <v>168304040</v>
      </c>
      <c r="G19" s="171">
        <f>-SUMIF(no,C19,tien)+SUMIF(co,C19,tien)</f>
        <v>0</v>
      </c>
      <c r="H19" s="271">
        <f>F19+G19</f>
        <v>168304040</v>
      </c>
      <c r="I19" s="272">
        <v>745743046</v>
      </c>
    </row>
    <row r="20" spans="1:9" ht="21.75" customHeight="1">
      <c r="A20" s="184" t="s">
        <v>189</v>
      </c>
      <c r="B20" s="185" t="s">
        <v>444</v>
      </c>
      <c r="C20" s="185">
        <v>635</v>
      </c>
      <c r="D20" s="194" t="s">
        <v>26</v>
      </c>
      <c r="E20" s="194" t="s">
        <v>443</v>
      </c>
      <c r="F20" s="170">
        <v>32520123751</v>
      </c>
      <c r="G20" s="171">
        <f>SUMIF(no,C20,tien)-SUMIF(co,C20,tien)</f>
        <v>0</v>
      </c>
      <c r="H20" s="271">
        <f>F20+G20</f>
        <v>32520123751</v>
      </c>
      <c r="I20" s="272">
        <v>22235128646</v>
      </c>
    </row>
    <row r="21" spans="1:9" ht="21.75" customHeight="1">
      <c r="A21" s="186"/>
      <c r="B21" s="250" t="s">
        <v>356</v>
      </c>
      <c r="C21" s="250"/>
      <c r="D21" s="251" t="s">
        <v>27</v>
      </c>
      <c r="E21" s="251"/>
      <c r="F21" s="252">
        <v>30193433769</v>
      </c>
      <c r="G21" s="252"/>
      <c r="H21" s="273">
        <v>30193433769</v>
      </c>
      <c r="I21" s="335">
        <v>21366357767</v>
      </c>
    </row>
    <row r="22" spans="1:9" ht="21.75" customHeight="1">
      <c r="A22" s="184" t="s">
        <v>191</v>
      </c>
      <c r="B22" s="185" t="s">
        <v>357</v>
      </c>
      <c r="C22" s="185">
        <v>641</v>
      </c>
      <c r="D22" s="194" t="s">
        <v>332</v>
      </c>
      <c r="E22" s="194"/>
      <c r="F22" s="171">
        <v>68873446324</v>
      </c>
      <c r="G22" s="171">
        <f>SUMIF(no,C22,tien)-SUMIF(co,C22,tien)</f>
        <v>-17801667</v>
      </c>
      <c r="H22" s="271">
        <f>F22+G22</f>
        <v>68855644657</v>
      </c>
      <c r="I22" s="272">
        <v>46990522273</v>
      </c>
    </row>
    <row r="23" spans="1:9" ht="21.75" customHeight="1">
      <c r="A23" s="184" t="s">
        <v>193</v>
      </c>
      <c r="B23" s="185" t="s">
        <v>358</v>
      </c>
      <c r="C23" s="185">
        <v>642</v>
      </c>
      <c r="D23" s="194" t="s">
        <v>333</v>
      </c>
      <c r="E23" s="194"/>
      <c r="F23" s="171">
        <v>79580542701</v>
      </c>
      <c r="G23" s="171">
        <f>SUMIF(no,C23,tien)-SUMIF(co,C23,tien)</f>
        <v>-122123967</v>
      </c>
      <c r="H23" s="271">
        <f>F23+G23</f>
        <v>79458418734</v>
      </c>
      <c r="I23" s="272">
        <v>45214967651</v>
      </c>
    </row>
    <row r="24" spans="1:9" ht="21.75" customHeight="1">
      <c r="A24" s="255" t="s">
        <v>195</v>
      </c>
      <c r="B24" s="188" t="s">
        <v>359</v>
      </c>
      <c r="C24" s="188"/>
      <c r="D24" s="191" t="s">
        <v>72</v>
      </c>
      <c r="E24" s="191"/>
      <c r="F24" s="199">
        <f>F18+F19-F20-F22-F23</f>
        <v>-1314070152</v>
      </c>
      <c r="G24" s="199">
        <f>G18+G19-G20-G22-G23</f>
        <v>226566135</v>
      </c>
      <c r="H24" s="269">
        <f>H18+H19-H20-H22-H23</f>
        <v>-1087504017</v>
      </c>
      <c r="I24" s="270">
        <f>I18+I19-I20-I22-I23</f>
        <v>11174693734</v>
      </c>
    </row>
    <row r="25" spans="1:9" ht="21.75" customHeight="1">
      <c r="A25" s="184" t="s">
        <v>28</v>
      </c>
      <c r="B25" s="185" t="s">
        <v>360</v>
      </c>
      <c r="C25" s="185">
        <v>711</v>
      </c>
      <c r="D25" s="194" t="s">
        <v>73</v>
      </c>
      <c r="E25" s="194"/>
      <c r="F25" s="171">
        <v>8640877078</v>
      </c>
      <c r="G25" s="171">
        <f>-SUMIF(no,C25,tien)+SUMIF(co,C25,tien)</f>
        <v>0</v>
      </c>
      <c r="H25" s="271">
        <f>F25+G25</f>
        <v>8640877078</v>
      </c>
      <c r="I25" s="272">
        <v>2043935982</v>
      </c>
    </row>
    <row r="26" spans="1:9" ht="21.75" customHeight="1">
      <c r="A26" s="184" t="s">
        <v>334</v>
      </c>
      <c r="B26" s="185" t="s">
        <v>361</v>
      </c>
      <c r="C26" s="185">
        <v>811</v>
      </c>
      <c r="D26" s="194" t="s">
        <v>74</v>
      </c>
      <c r="E26" s="194"/>
      <c r="F26" s="170">
        <v>7027190049</v>
      </c>
      <c r="G26" s="171">
        <f>SUMIF(no,C26,tien)-SUMIF(co,C26,tien)</f>
        <v>0</v>
      </c>
      <c r="H26" s="271">
        <f>F26+G26</f>
        <v>7027190049</v>
      </c>
      <c r="I26" s="272">
        <v>2566793074</v>
      </c>
    </row>
    <row r="27" spans="1:9" ht="21.75" customHeight="1">
      <c r="A27" s="255" t="s">
        <v>335</v>
      </c>
      <c r="B27" s="188" t="s">
        <v>362</v>
      </c>
      <c r="C27" s="188"/>
      <c r="D27" s="191" t="s">
        <v>86</v>
      </c>
      <c r="E27" s="191"/>
      <c r="F27" s="234">
        <f>F25-F26</f>
        <v>1613687029</v>
      </c>
      <c r="G27" s="234">
        <f>G25-G26</f>
        <v>0</v>
      </c>
      <c r="H27" s="274">
        <f>H25-H26</f>
        <v>1613687029</v>
      </c>
      <c r="I27" s="270">
        <f>I25-I26</f>
        <v>-522857092</v>
      </c>
    </row>
    <row r="28" spans="1:9" ht="21.75" customHeight="1">
      <c r="A28" s="255" t="s">
        <v>336</v>
      </c>
      <c r="B28" s="188" t="s">
        <v>363</v>
      </c>
      <c r="C28" s="188"/>
      <c r="D28" s="191" t="s">
        <v>337</v>
      </c>
      <c r="E28" s="191"/>
      <c r="F28" s="234">
        <f>F24+F27</f>
        <v>299616877</v>
      </c>
      <c r="G28" s="234">
        <f>G24+G27</f>
        <v>226566135</v>
      </c>
      <c r="H28" s="274">
        <f>H24+H27</f>
        <v>526183012</v>
      </c>
      <c r="I28" s="270">
        <f>I24+I27</f>
        <v>10651836642</v>
      </c>
    </row>
    <row r="29" spans="1:9" ht="21.75" customHeight="1">
      <c r="A29" s="184"/>
      <c r="B29" s="185" t="s">
        <v>377</v>
      </c>
      <c r="C29" s="185"/>
      <c r="D29" s="194"/>
      <c r="E29" s="194"/>
      <c r="F29" s="170"/>
      <c r="G29" s="170"/>
      <c r="H29" s="275"/>
      <c r="I29" s="272">
        <v>272694578</v>
      </c>
    </row>
    <row r="30" spans="1:9" ht="21.75" customHeight="1">
      <c r="A30" s="184" t="s">
        <v>338</v>
      </c>
      <c r="B30" s="185" t="s">
        <v>364</v>
      </c>
      <c r="C30" s="185">
        <v>333</v>
      </c>
      <c r="D30" s="194" t="s">
        <v>339</v>
      </c>
      <c r="E30" s="194"/>
      <c r="F30" s="171">
        <v>52874202</v>
      </c>
      <c r="G30" s="171">
        <f>-SUMIF(no,C30,tien)+SUMIF(co,C30,tien)</f>
        <v>63438518</v>
      </c>
      <c r="H30" s="271">
        <f>F30+G30</f>
        <v>116312720</v>
      </c>
      <c r="I30" s="272">
        <v>3244137922</v>
      </c>
    </row>
    <row r="31" spans="1:9" ht="21.75" customHeight="1">
      <c r="A31" s="184" t="s">
        <v>340</v>
      </c>
      <c r="B31" s="235" t="s">
        <v>365</v>
      </c>
      <c r="C31" s="185">
        <v>8212</v>
      </c>
      <c r="D31" s="194" t="s">
        <v>341</v>
      </c>
      <c r="E31" s="194"/>
      <c r="F31" s="236"/>
      <c r="G31" s="171">
        <f>SUMIF(no,C31,tien)-SUMIF(co,C31,tien)</f>
        <v>0</v>
      </c>
      <c r="H31" s="271">
        <f>F31+G31</f>
        <v>0</v>
      </c>
      <c r="I31" s="270"/>
    </row>
    <row r="32" spans="1:9" ht="21.75" customHeight="1">
      <c r="A32" s="255" t="s">
        <v>342</v>
      </c>
      <c r="B32" s="237" t="s">
        <v>366</v>
      </c>
      <c r="C32" s="238"/>
      <c r="D32" s="239" t="s">
        <v>343</v>
      </c>
      <c r="E32" s="240" t="s">
        <v>445</v>
      </c>
      <c r="F32" s="234">
        <f>F28-F30-F31</f>
        <v>246742675</v>
      </c>
      <c r="G32" s="234">
        <f>G28-G30-G31</f>
        <v>163127617</v>
      </c>
      <c r="H32" s="274">
        <f>H28-H30-H31</f>
        <v>409870292</v>
      </c>
      <c r="I32" s="270">
        <f>I28-I30-I31+I29</f>
        <v>7680393298</v>
      </c>
    </row>
    <row r="33" spans="1:9" ht="21.75" customHeight="1" thickBot="1">
      <c r="A33" s="257" t="s">
        <v>344</v>
      </c>
      <c r="B33" s="241" t="s">
        <v>345</v>
      </c>
      <c r="C33" s="242"/>
      <c r="D33" s="243" t="s">
        <v>346</v>
      </c>
      <c r="E33" s="244"/>
      <c r="F33" s="245"/>
      <c r="G33" s="245"/>
      <c r="H33" s="245"/>
      <c r="I33" s="266"/>
    </row>
    <row r="34" spans="1:9" ht="16.5" thickTop="1">
      <c r="A34" s="140"/>
      <c r="B34" s="92"/>
      <c r="C34" s="92"/>
      <c r="D34" s="105"/>
      <c r="E34" s="105"/>
      <c r="F34" s="96"/>
      <c r="G34" s="141">
        <f>F31/F30</f>
        <v>0</v>
      </c>
      <c r="H34" s="96"/>
      <c r="I34" s="224"/>
    </row>
    <row r="35" spans="1:9" ht="15.75">
      <c r="A35" s="126"/>
      <c r="B35" s="126"/>
      <c r="C35" s="126"/>
      <c r="D35" s="126"/>
      <c r="E35" s="373"/>
      <c r="F35" s="373"/>
      <c r="G35" s="140"/>
      <c r="H35" s="373" t="s">
        <v>409</v>
      </c>
      <c r="I35" s="373"/>
    </row>
    <row r="36" spans="1:9" ht="9" customHeight="1">
      <c r="A36" s="126"/>
      <c r="B36" s="126"/>
      <c r="C36" s="126"/>
      <c r="D36" s="126"/>
      <c r="E36" s="227"/>
      <c r="F36" s="140"/>
      <c r="G36" s="224"/>
      <c r="H36" s="140"/>
      <c r="I36" s="224"/>
    </row>
    <row r="37" spans="1:9" ht="17.25" customHeight="1">
      <c r="A37" s="140"/>
      <c r="B37" s="83" t="s">
        <v>368</v>
      </c>
      <c r="C37" s="246"/>
      <c r="D37" s="227"/>
      <c r="E37" s="247"/>
      <c r="F37" s="144"/>
      <c r="G37" s="143"/>
      <c r="H37" s="371" t="s">
        <v>436</v>
      </c>
      <c r="I37" s="371"/>
    </row>
    <row r="38" spans="1:9" ht="15.75">
      <c r="A38" s="126"/>
      <c r="B38" s="126"/>
      <c r="C38" s="126"/>
      <c r="D38" s="126"/>
      <c r="E38" s="227"/>
      <c r="F38" s="140"/>
      <c r="G38" s="140"/>
      <c r="H38" s="126"/>
      <c r="I38" s="126"/>
    </row>
    <row r="39" spans="1:9" ht="15.75">
      <c r="A39" s="126"/>
      <c r="B39" s="126"/>
      <c r="C39" s="126"/>
      <c r="D39" s="126"/>
      <c r="E39" s="227"/>
      <c r="F39" s="140"/>
      <c r="G39" s="140"/>
      <c r="H39" s="126"/>
      <c r="I39" s="126"/>
    </row>
    <row r="40" spans="1:9" ht="15.75">
      <c r="A40" s="126"/>
      <c r="B40" s="126"/>
      <c r="C40" s="126"/>
      <c r="D40" s="126"/>
      <c r="E40" s="227"/>
      <c r="F40" s="142"/>
      <c r="G40" s="140"/>
      <c r="H40" s="126"/>
      <c r="I40" s="126"/>
    </row>
    <row r="41" spans="1:9" ht="15.75">
      <c r="A41" s="126"/>
      <c r="B41" s="126"/>
      <c r="C41" s="126"/>
      <c r="D41" s="126"/>
      <c r="E41" s="227"/>
      <c r="F41" s="140"/>
      <c r="G41" s="140"/>
      <c r="H41" s="126"/>
      <c r="I41" s="126"/>
    </row>
    <row r="42" spans="1:9" ht="15.75">
      <c r="A42" s="126"/>
      <c r="B42" s="126"/>
      <c r="C42" s="126"/>
      <c r="D42" s="126"/>
      <c r="E42" s="227"/>
      <c r="F42" s="140"/>
      <c r="G42" s="140"/>
      <c r="H42" s="126"/>
      <c r="I42" s="126"/>
    </row>
    <row r="43" spans="1:9" ht="15.75">
      <c r="A43" s="140"/>
      <c r="B43" s="83" t="s">
        <v>426</v>
      </c>
      <c r="C43" s="83"/>
      <c r="D43" s="126"/>
      <c r="E43" s="227"/>
      <c r="F43" s="140"/>
      <c r="G43" s="140"/>
      <c r="H43" s="371" t="s">
        <v>437</v>
      </c>
      <c r="I43" s="371"/>
    </row>
    <row r="44" spans="1:9" ht="15.75">
      <c r="A44" s="140"/>
      <c r="B44" s="246"/>
      <c r="C44" s="246"/>
      <c r="D44" s="227"/>
      <c r="E44" s="227"/>
      <c r="F44" s="140"/>
      <c r="G44" s="140"/>
      <c r="H44" s="140"/>
      <c r="I44" s="224"/>
    </row>
    <row r="45" spans="1:9" ht="15.75">
      <c r="A45" s="140"/>
      <c r="B45" s="246"/>
      <c r="C45" s="246"/>
      <c r="D45" s="227"/>
      <c r="E45" s="227"/>
      <c r="F45" s="140"/>
      <c r="G45" s="140"/>
      <c r="H45" s="140"/>
      <c r="I45" s="224"/>
    </row>
    <row r="46" spans="1:9" ht="15.75">
      <c r="A46" s="140"/>
      <c r="B46" s="246"/>
      <c r="C46" s="246"/>
      <c r="D46" s="227"/>
      <c r="E46" s="227"/>
      <c r="F46" s="140"/>
      <c r="G46" s="140"/>
      <c r="H46" s="140"/>
      <c r="I46" s="224"/>
    </row>
    <row r="47" spans="1:9" ht="35.25" customHeight="1">
      <c r="A47" s="145"/>
      <c r="B47" s="151"/>
      <c r="C47" s="151"/>
      <c r="D47" s="248"/>
      <c r="E47" s="248"/>
      <c r="F47" s="145"/>
      <c r="G47" s="145"/>
      <c r="H47" s="145"/>
      <c r="I47" s="249"/>
    </row>
    <row r="48" spans="1:9" ht="15" customHeight="1">
      <c r="A48" s="145"/>
      <c r="B48" s="151"/>
      <c r="C48" s="151"/>
      <c r="D48" s="248"/>
      <c r="E48" s="248"/>
      <c r="F48" s="145"/>
      <c r="G48" s="145"/>
      <c r="H48" s="145"/>
      <c r="I48" s="249"/>
    </row>
  </sheetData>
  <mergeCells count="7">
    <mergeCell ref="H35:I35"/>
    <mergeCell ref="H37:I37"/>
    <mergeCell ref="H43:I43"/>
    <mergeCell ref="A1:B1"/>
    <mergeCell ref="A2:B2"/>
    <mergeCell ref="A3:B3"/>
    <mergeCell ref="E35:F35"/>
  </mergeCells>
  <printOptions horizontalCentered="1" verticalCentered="1"/>
  <pageMargins left="0.3" right="0.25" top="0.3" bottom="0.27" header="0.17" footer="0.17"/>
  <pageSetup firstPageNumber="10" useFirstPageNumber="1" horizontalDpi="300" verticalDpi="300" orientation="portrait" paperSize="9" r:id="rId1"/>
  <headerFooter alignWithMargins="0">
    <oddFooter>&amp;L&amp;"Times New Roman,Italic"&amp;10             Báo cáo này phải được đọc chung với các thuyết minh kèm theo 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78"/>
  <sheetViews>
    <sheetView workbookViewId="0" topLeftCell="A10">
      <selection activeCell="G39" sqref="G39:H59"/>
    </sheetView>
  </sheetViews>
  <sheetFormatPr defaultColWidth="8.796875" defaultRowHeight="15"/>
  <cols>
    <col min="1" max="1" width="4.3984375" style="126" customWidth="1"/>
    <col min="2" max="2" width="49" style="126" customWidth="1"/>
    <col min="3" max="3" width="5.09765625" style="138" customWidth="1"/>
    <col min="4" max="4" width="14.59765625" style="126" customWidth="1"/>
    <col min="5" max="5" width="15.69921875" style="126" customWidth="1"/>
    <col min="6" max="6" width="9" style="126" customWidth="1"/>
    <col min="7" max="7" width="13.09765625" style="126" bestFit="1" customWidth="1"/>
    <col min="8" max="8" width="13.5" style="126" customWidth="1"/>
    <col min="9" max="9" width="11.09765625" style="126" bestFit="1" customWidth="1"/>
    <col min="10" max="16384" width="9" style="126" customWidth="1"/>
  </cols>
  <sheetData>
    <row r="1" spans="1:2" ht="19.5" customHeight="1">
      <c r="A1" s="359" t="s">
        <v>380</v>
      </c>
      <c r="B1" s="359"/>
    </row>
    <row r="2" spans="1:2" ht="15" customHeight="1">
      <c r="A2" s="359" t="s">
        <v>446</v>
      </c>
      <c r="B2" s="359"/>
    </row>
    <row r="3" spans="1:5" ht="15" customHeight="1">
      <c r="A3" s="360" t="s">
        <v>404</v>
      </c>
      <c r="B3" s="361"/>
      <c r="C3" s="147"/>
      <c r="D3" s="139"/>
      <c r="E3" s="139"/>
    </row>
    <row r="4" ht="15.75" customHeight="1"/>
    <row r="5" spans="1:5" ht="18" customHeight="1">
      <c r="A5" s="328" t="s">
        <v>234</v>
      </c>
      <c r="B5" s="328"/>
      <c r="C5" s="328"/>
      <c r="D5" s="328"/>
      <c r="E5" s="328"/>
    </row>
    <row r="6" spans="1:5" ht="18" customHeight="1">
      <c r="A6" s="329" t="s">
        <v>309</v>
      </c>
      <c r="B6" s="329"/>
      <c r="C6" s="329"/>
      <c r="D6" s="329"/>
      <c r="E6" s="329"/>
    </row>
    <row r="7" spans="1:5" ht="18" customHeight="1">
      <c r="A7" s="330" t="s">
        <v>321</v>
      </c>
      <c r="B7" s="330"/>
      <c r="C7" s="330"/>
      <c r="D7" s="330"/>
      <c r="E7" s="330"/>
    </row>
    <row r="8" ht="13.5" customHeight="1" thickBot="1">
      <c r="E8" s="229" t="s">
        <v>348</v>
      </c>
    </row>
    <row r="9" spans="1:5" ht="29.25" thickTop="1">
      <c r="A9" s="133" t="s">
        <v>14</v>
      </c>
      <c r="B9" s="135" t="s">
        <v>235</v>
      </c>
      <c r="C9" s="134" t="s">
        <v>180</v>
      </c>
      <c r="D9" s="135" t="s">
        <v>321</v>
      </c>
      <c r="E9" s="136" t="s">
        <v>378</v>
      </c>
    </row>
    <row r="10" spans="1:5" ht="18" customHeight="1">
      <c r="A10" s="203" t="s">
        <v>141</v>
      </c>
      <c r="B10" s="204" t="s">
        <v>317</v>
      </c>
      <c r="C10" s="137"/>
      <c r="D10" s="171"/>
      <c r="E10" s="179"/>
    </row>
    <row r="11" spans="1:5" ht="15.75" customHeight="1">
      <c r="A11" s="205" t="s">
        <v>137</v>
      </c>
      <c r="B11" s="206" t="s">
        <v>310</v>
      </c>
      <c r="C11" s="146" t="s">
        <v>1</v>
      </c>
      <c r="D11" s="171">
        <v>967963541360</v>
      </c>
      <c r="E11" s="179">
        <v>655109601295</v>
      </c>
    </row>
    <row r="12" spans="1:5" ht="15.75" customHeight="1">
      <c r="A12" s="205" t="s">
        <v>136</v>
      </c>
      <c r="B12" s="206" t="s">
        <v>311</v>
      </c>
      <c r="C12" s="146" t="s">
        <v>2</v>
      </c>
      <c r="D12" s="171">
        <f>-808060127100+1594600079</f>
        <v>-806465527021</v>
      </c>
      <c r="E12" s="179">
        <f>-197294592003-1594600079</f>
        <v>-198889192082</v>
      </c>
    </row>
    <row r="13" spans="1:5" ht="15.75" customHeight="1">
      <c r="A13" s="205" t="s">
        <v>144</v>
      </c>
      <c r="B13" s="207" t="s">
        <v>312</v>
      </c>
      <c r="C13" s="146" t="s">
        <v>3</v>
      </c>
      <c r="D13" s="171">
        <v>-160388622552</v>
      </c>
      <c r="E13" s="179">
        <v>-135791452162</v>
      </c>
    </row>
    <row r="14" spans="1:5" ht="15.75" customHeight="1">
      <c r="A14" s="205" t="s">
        <v>145</v>
      </c>
      <c r="B14" s="206" t="s">
        <v>313</v>
      </c>
      <c r="C14" s="146" t="s">
        <v>4</v>
      </c>
      <c r="D14" s="171">
        <v>-19865998328</v>
      </c>
      <c r="E14" s="179">
        <v>-16168468824</v>
      </c>
    </row>
    <row r="15" spans="1:5" ht="15.75" customHeight="1">
      <c r="A15" s="205" t="s">
        <v>146</v>
      </c>
      <c r="B15" s="206" t="s">
        <v>314</v>
      </c>
      <c r="C15" s="146" t="s">
        <v>5</v>
      </c>
      <c r="D15" s="171">
        <v>-1079388851</v>
      </c>
      <c r="E15" s="179">
        <v>-4516923800</v>
      </c>
    </row>
    <row r="16" spans="1:5" ht="15.75" customHeight="1">
      <c r="A16" s="205" t="s">
        <v>139</v>
      </c>
      <c r="B16" s="206" t="s">
        <v>315</v>
      </c>
      <c r="C16" s="146" t="s">
        <v>6</v>
      </c>
      <c r="D16" s="171">
        <v>9950921450</v>
      </c>
      <c r="E16" s="179">
        <v>231704549</v>
      </c>
    </row>
    <row r="17" spans="1:5" ht="15.75" customHeight="1">
      <c r="A17" s="205" t="s">
        <v>189</v>
      </c>
      <c r="B17" s="206" t="s">
        <v>316</v>
      </c>
      <c r="C17" s="146" t="s">
        <v>318</v>
      </c>
      <c r="D17" s="171">
        <v>-9049517816</v>
      </c>
      <c r="E17" s="179">
        <v>-199140000</v>
      </c>
    </row>
    <row r="18" spans="1:5" s="83" customFormat="1" ht="18" customHeight="1">
      <c r="A18" s="210"/>
      <c r="B18" s="209" t="s">
        <v>236</v>
      </c>
      <c r="C18" s="149">
        <v>20</v>
      </c>
      <c r="D18" s="199">
        <f>SUM(D11:D17)</f>
        <v>-18934591758</v>
      </c>
      <c r="E18" s="298">
        <f>SUM(E11:E17)</f>
        <v>299776128976</v>
      </c>
    </row>
    <row r="19" spans="1:5" ht="18" customHeight="1">
      <c r="A19" s="210" t="s">
        <v>142</v>
      </c>
      <c r="B19" s="209" t="s">
        <v>237</v>
      </c>
      <c r="C19" s="137"/>
      <c r="D19" s="171"/>
      <c r="E19" s="179"/>
    </row>
    <row r="20" spans="1:5" ht="15.75" customHeight="1">
      <c r="A20" s="205" t="s">
        <v>137</v>
      </c>
      <c r="B20" s="206" t="s">
        <v>238</v>
      </c>
      <c r="C20" s="137">
        <v>21</v>
      </c>
      <c r="D20" s="171">
        <v>-45558306141</v>
      </c>
      <c r="E20" s="179">
        <v>-145535151509</v>
      </c>
    </row>
    <row r="21" spans="1:5" ht="15.75" customHeight="1">
      <c r="A21" s="205" t="s">
        <v>136</v>
      </c>
      <c r="B21" s="206" t="s">
        <v>239</v>
      </c>
      <c r="C21" s="137">
        <v>22</v>
      </c>
      <c r="D21" s="171">
        <v>93153343</v>
      </c>
      <c r="E21" s="179">
        <v>280000000</v>
      </c>
    </row>
    <row r="22" spans="1:5" ht="15.75" customHeight="1">
      <c r="A22" s="205" t="s">
        <v>144</v>
      </c>
      <c r="B22" s="206" t="s">
        <v>240</v>
      </c>
      <c r="C22" s="137">
        <v>23</v>
      </c>
      <c r="D22" s="171"/>
      <c r="E22" s="179"/>
    </row>
    <row r="23" spans="1:5" ht="15.75" customHeight="1">
      <c r="A23" s="205" t="s">
        <v>145</v>
      </c>
      <c r="B23" s="206" t="s">
        <v>241</v>
      </c>
      <c r="C23" s="137">
        <v>24</v>
      </c>
      <c r="D23" s="171"/>
      <c r="E23" s="179"/>
    </row>
    <row r="24" spans="1:5" ht="15.75" customHeight="1">
      <c r="A24" s="205" t="s">
        <v>146</v>
      </c>
      <c r="B24" s="206" t="s">
        <v>242</v>
      </c>
      <c r="C24" s="137">
        <v>25</v>
      </c>
      <c r="D24" s="171">
        <v>-100000000</v>
      </c>
      <c r="E24" s="179"/>
    </row>
    <row r="25" spans="1:5" ht="15.75" customHeight="1">
      <c r="A25" s="205" t="s">
        <v>139</v>
      </c>
      <c r="B25" s="206" t="s">
        <v>243</v>
      </c>
      <c r="C25" s="137">
        <v>26</v>
      </c>
      <c r="D25" s="171"/>
      <c r="E25" s="179">
        <v>21903000000</v>
      </c>
    </row>
    <row r="26" spans="1:5" ht="15.75" customHeight="1">
      <c r="A26" s="205" t="s">
        <v>189</v>
      </c>
      <c r="B26" s="206" t="s">
        <v>244</v>
      </c>
      <c r="C26" s="137">
        <v>27</v>
      </c>
      <c r="D26" s="171"/>
      <c r="E26" s="179">
        <v>0</v>
      </c>
    </row>
    <row r="27" spans="1:5" ht="18" customHeight="1">
      <c r="A27" s="208"/>
      <c r="B27" s="209" t="s">
        <v>245</v>
      </c>
      <c r="C27" s="149">
        <v>30</v>
      </c>
      <c r="D27" s="199">
        <f>SUM(D20:D26)</f>
        <v>-45565152798</v>
      </c>
      <c r="E27" s="298">
        <f>SUM(E20:E26)</f>
        <v>-123352151509</v>
      </c>
    </row>
    <row r="28" spans="1:5" ht="18" customHeight="1">
      <c r="A28" s="210" t="s">
        <v>143</v>
      </c>
      <c r="B28" s="209" t="s">
        <v>246</v>
      </c>
      <c r="C28" s="137"/>
      <c r="D28" s="171"/>
      <c r="E28" s="179"/>
    </row>
    <row r="29" spans="1:5" ht="15.75" customHeight="1">
      <c r="A29" s="205" t="s">
        <v>137</v>
      </c>
      <c r="B29" s="206" t="s">
        <v>247</v>
      </c>
      <c r="C29" s="137">
        <v>31</v>
      </c>
      <c r="D29" s="171">
        <v>24851464201</v>
      </c>
      <c r="E29" s="179">
        <v>0</v>
      </c>
    </row>
    <row r="30" spans="1:5" ht="26.25">
      <c r="A30" s="211" t="s">
        <v>136</v>
      </c>
      <c r="B30" s="193" t="s">
        <v>248</v>
      </c>
      <c r="C30" s="137">
        <v>32</v>
      </c>
      <c r="D30" s="171">
        <v>-24851464201</v>
      </c>
      <c r="E30" s="179"/>
    </row>
    <row r="31" spans="1:5" ht="15.75" customHeight="1">
      <c r="A31" s="205" t="s">
        <v>144</v>
      </c>
      <c r="B31" s="206" t="s">
        <v>249</v>
      </c>
      <c r="C31" s="137">
        <v>33</v>
      </c>
      <c r="D31" s="171">
        <v>504777827818</v>
      </c>
      <c r="E31" s="179">
        <v>199389370056</v>
      </c>
    </row>
    <row r="32" spans="1:5" ht="15.75" customHeight="1">
      <c r="A32" s="205" t="s">
        <v>145</v>
      </c>
      <c r="B32" s="206" t="s">
        <v>250</v>
      </c>
      <c r="C32" s="137">
        <v>34</v>
      </c>
      <c r="D32" s="171">
        <v>-440573034147</v>
      </c>
      <c r="E32" s="179">
        <v>-374621225983</v>
      </c>
    </row>
    <row r="33" spans="1:5" ht="15.75" customHeight="1">
      <c r="A33" s="205" t="s">
        <v>146</v>
      </c>
      <c r="B33" s="206" t="s">
        <v>251</v>
      </c>
      <c r="C33" s="137">
        <v>35</v>
      </c>
      <c r="D33" s="171"/>
      <c r="E33" s="179"/>
    </row>
    <row r="34" spans="1:5" ht="15.75" customHeight="1">
      <c r="A34" s="205" t="s">
        <v>139</v>
      </c>
      <c r="B34" s="206" t="s">
        <v>252</v>
      </c>
      <c r="C34" s="137">
        <v>36</v>
      </c>
      <c r="D34" s="171"/>
      <c r="E34" s="179"/>
    </row>
    <row r="35" spans="1:5" ht="18" customHeight="1">
      <c r="A35" s="208"/>
      <c r="B35" s="209" t="s">
        <v>253</v>
      </c>
      <c r="C35" s="149">
        <v>40</v>
      </c>
      <c r="D35" s="199">
        <f>SUM(D28:D34)</f>
        <v>64204793671</v>
      </c>
      <c r="E35" s="298">
        <f>SUM(E28:E34)</f>
        <v>-175231855927</v>
      </c>
    </row>
    <row r="36" spans="1:5" ht="18" customHeight="1">
      <c r="A36" s="208"/>
      <c r="B36" s="209" t="s">
        <v>254</v>
      </c>
      <c r="C36" s="149">
        <v>50</v>
      </c>
      <c r="D36" s="199">
        <f>D18+D27+D35</f>
        <v>-294950885</v>
      </c>
      <c r="E36" s="298">
        <f>E18+E27+E35</f>
        <v>1192121540</v>
      </c>
    </row>
    <row r="37" spans="1:5" ht="18" customHeight="1">
      <c r="A37" s="208"/>
      <c r="B37" s="209" t="s">
        <v>255</v>
      </c>
      <c r="C37" s="149">
        <v>60</v>
      </c>
      <c r="D37" s="199">
        <f>E39</f>
        <v>1979378269</v>
      </c>
      <c r="E37" s="298">
        <v>787256729</v>
      </c>
    </row>
    <row r="38" spans="1:5" ht="18" customHeight="1">
      <c r="A38" s="208"/>
      <c r="B38" s="206" t="s">
        <v>256</v>
      </c>
      <c r="C38" s="137">
        <v>61</v>
      </c>
      <c r="D38" s="171">
        <v>0</v>
      </c>
      <c r="E38" s="179">
        <v>0</v>
      </c>
    </row>
    <row r="39" spans="1:8" ht="18" customHeight="1" thickBot="1">
      <c r="A39" s="212"/>
      <c r="B39" s="213" t="s">
        <v>257</v>
      </c>
      <c r="C39" s="150">
        <v>70</v>
      </c>
      <c r="D39" s="201">
        <f>D36+D37+D38</f>
        <v>1684427384</v>
      </c>
      <c r="E39" s="266">
        <f>E36+E37+E38</f>
        <v>1979378269</v>
      </c>
      <c r="G39" s="140"/>
      <c r="H39" s="202"/>
    </row>
    <row r="40" ht="15.75" thickTop="1">
      <c r="A40" s="138"/>
    </row>
    <row r="41" spans="1:5" ht="15">
      <c r="A41" s="138"/>
      <c r="D41" s="373" t="s">
        <v>409</v>
      </c>
      <c r="E41" s="373"/>
    </row>
    <row r="42" ht="7.5" customHeight="1">
      <c r="A42" s="138"/>
    </row>
    <row r="43" spans="1:7" ht="18" customHeight="1">
      <c r="A43" s="138"/>
      <c r="B43" s="83" t="s">
        <v>368</v>
      </c>
      <c r="C43" s="83"/>
      <c r="D43" s="371" t="s">
        <v>436</v>
      </c>
      <c r="E43" s="371"/>
      <c r="F43" s="144"/>
      <c r="G43" s="143"/>
    </row>
    <row r="44" spans="1:7" ht="15">
      <c r="A44" s="138"/>
      <c r="C44" s="126"/>
      <c r="F44" s="140"/>
      <c r="G44" s="140"/>
    </row>
    <row r="45" spans="1:7" ht="15">
      <c r="A45" s="138"/>
      <c r="C45" s="126"/>
      <c r="F45" s="140"/>
      <c r="G45" s="140"/>
    </row>
    <row r="46" spans="1:7" ht="15">
      <c r="A46" s="138"/>
      <c r="C46" s="126"/>
      <c r="F46" s="142"/>
      <c r="G46" s="140"/>
    </row>
    <row r="47" spans="1:7" ht="15">
      <c r="A47" s="138"/>
      <c r="C47" s="126"/>
      <c r="F47" s="140"/>
      <c r="G47" s="140"/>
    </row>
    <row r="48" spans="1:7" ht="15">
      <c r="A48" s="138"/>
      <c r="C48" s="126"/>
      <c r="F48" s="140"/>
      <c r="G48" s="140"/>
    </row>
    <row r="49" spans="1:7" ht="15">
      <c r="A49" s="333"/>
      <c r="B49" s="334" t="s">
        <v>426</v>
      </c>
      <c r="C49" s="285"/>
      <c r="D49" s="374" t="s">
        <v>437</v>
      </c>
      <c r="E49" s="374"/>
      <c r="F49" s="140"/>
      <c r="G49" s="140"/>
    </row>
    <row r="50" spans="1:7" ht="24.75" customHeight="1">
      <c r="A50" s="147"/>
      <c r="B50" s="221"/>
      <c r="C50" s="139"/>
      <c r="D50" s="221"/>
      <c r="E50" s="139"/>
      <c r="F50" s="140"/>
      <c r="G50" s="140"/>
    </row>
    <row r="51" ht="15">
      <c r="A51" s="138"/>
    </row>
    <row r="52" ht="15">
      <c r="A52" s="138"/>
    </row>
    <row r="53" ht="15">
      <c r="A53" s="138"/>
    </row>
    <row r="54" ht="15">
      <c r="A54" s="138"/>
    </row>
    <row r="55" ht="15">
      <c r="A55" s="138"/>
    </row>
    <row r="56" ht="15">
      <c r="A56" s="138"/>
    </row>
    <row r="57" ht="15">
      <c r="A57" s="138"/>
    </row>
    <row r="58" ht="15">
      <c r="A58" s="138"/>
    </row>
    <row r="59" ht="15">
      <c r="A59" s="138"/>
    </row>
    <row r="60" ht="15">
      <c r="A60" s="138"/>
    </row>
    <row r="69" spans="7:9" ht="15">
      <c r="G69" s="289">
        <v>4181265629</v>
      </c>
      <c r="H69" s="126">
        <v>1714477057</v>
      </c>
      <c r="I69" s="292">
        <f>G69-H69</f>
        <v>2466788572</v>
      </c>
    </row>
    <row r="70" ht="15">
      <c r="G70" s="290"/>
    </row>
    <row r="71" ht="15">
      <c r="G71" s="290">
        <v>1242524476</v>
      </c>
    </row>
    <row r="72" ht="15">
      <c r="G72" s="291"/>
    </row>
    <row r="73" ht="15">
      <c r="G73" s="290">
        <v>2938741153</v>
      </c>
    </row>
    <row r="77" ht="15">
      <c r="G77" s="292">
        <f>G69+G70-G71</f>
        <v>2938741153</v>
      </c>
    </row>
    <row r="78" ht="15">
      <c r="G78" s="292">
        <f>G69-G73</f>
        <v>1242524476</v>
      </c>
    </row>
  </sheetData>
  <mergeCells count="6">
    <mergeCell ref="D49:E49"/>
    <mergeCell ref="A1:B1"/>
    <mergeCell ref="A2:B2"/>
    <mergeCell ref="A3:B3"/>
    <mergeCell ref="D43:E43"/>
    <mergeCell ref="D41:E41"/>
  </mergeCells>
  <printOptions horizontalCentered="1" verticalCentered="1"/>
  <pageMargins left="0.3" right="0.25" top="0.25" bottom="0.3" header="0.17" footer="0.17"/>
  <pageSetup firstPageNumber="11" useFirstPageNumber="1" horizontalDpi="300" verticalDpi="300" orientation="portrait" paperSize="9" r:id="rId1"/>
  <headerFooter alignWithMargins="0">
    <oddFooter xml:space="preserve">&amp;L&amp;"Times New Roman,Italic"&amp;10             Báo cáo tài chính này phải được đọc chung với các thuyết minh kèm theo&amp;R&amp;10&amp;P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 Trung Truc</dc:creator>
  <cp:keywords/>
  <dc:description/>
  <cp:lastModifiedBy>quyanhnguyen</cp:lastModifiedBy>
  <cp:lastPrinted>2006-03-31T03:58:34Z</cp:lastPrinted>
  <dcterms:created xsi:type="dcterms:W3CDTF">2001-03-06T06:54:59Z</dcterms:created>
  <dcterms:modified xsi:type="dcterms:W3CDTF">2008-10-21T02:12:23Z</dcterms:modified>
  <cp:category/>
  <cp:version/>
  <cp:contentType/>
  <cp:contentStatus/>
</cp:coreProperties>
</file>